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pe226\Desktop\"/>
    </mc:Choice>
  </mc:AlternateContent>
  <bookViews>
    <workbookView xWindow="0" yWindow="0" windowWidth="28800" windowHeight="14100" activeTab="1"/>
  </bookViews>
  <sheets>
    <sheet name="Instructions" sheetId="5" r:id="rId1"/>
    <sheet name="Forces" sheetId="7" r:id="rId2"/>
  </sheets>
  <definedNames>
    <definedName name="TractorPic" localSheetId="1">INDEX(#REF!,MATCH(Forces!$C$5,#REF!,0))</definedName>
    <definedName name="TractorPic">INDEX(#REF!,MATCH(#REF!,#REF!,0))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10" i="7" l="1"/>
  <c r="AC11" i="7"/>
  <c r="AC12" i="7"/>
  <c r="AC9" i="7"/>
  <c r="H25" i="7"/>
  <c r="C12" i="7"/>
  <c r="W22" i="7"/>
  <c r="X26" i="7"/>
  <c r="S26" i="7"/>
  <c r="R26" i="7"/>
  <c r="X23" i="7"/>
  <c r="X22" i="7"/>
  <c r="S22" i="7"/>
  <c r="R22" i="7"/>
  <c r="V12" i="7"/>
  <c r="T26" i="7"/>
  <c r="V11" i="7"/>
  <c r="Q26" i="7"/>
  <c r="AB6" i="7"/>
  <c r="AE5" i="7"/>
  <c r="AD5" i="7"/>
  <c r="AE3" i="7"/>
  <c r="AB5" i="7"/>
  <c r="V5" i="7"/>
  <c r="W26" i="7"/>
  <c r="AD4" i="7"/>
  <c r="AB4" i="7"/>
  <c r="AD3" i="7"/>
  <c r="AB3" i="7"/>
  <c r="Q3" i="7"/>
  <c r="AD2" i="7"/>
  <c r="AB2" i="7"/>
  <c r="Q2" i="7"/>
  <c r="T22" i="7"/>
  <c r="Q5" i="7"/>
  <c r="U22" i="7"/>
  <c r="W23" i="7"/>
  <c r="Q22" i="7"/>
  <c r="V22" i="7"/>
  <c r="P23" i="7"/>
  <c r="R30" i="7"/>
  <c r="P31" i="7"/>
  <c r="V26" i="7"/>
  <c r="P27" i="7"/>
</calcChain>
</file>

<file path=xl/comments1.xml><?xml version="1.0" encoding="utf-8"?>
<comments xmlns="http://schemas.openxmlformats.org/spreadsheetml/2006/main">
  <authors>
    <author>tc={4874D914-A4BC-4385-BB8C-F391FE6E2C38}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 is the lowest, and 5 is the highest hitch point</t>
        </r>
      </text>
    </comment>
  </commentList>
</comments>
</file>

<file path=xl/sharedStrings.xml><?xml version="1.0" encoding="utf-8"?>
<sst xmlns="http://schemas.openxmlformats.org/spreadsheetml/2006/main" count="103" uniqueCount="83">
  <si>
    <t>lbs</t>
  </si>
  <si>
    <t>Suitcase Weights</t>
  </si>
  <si>
    <t>in</t>
  </si>
  <si>
    <t>T</t>
  </si>
  <si>
    <t xml:space="preserve"> </t>
  </si>
  <si>
    <t>Fy</t>
  </si>
  <si>
    <t>=</t>
  </si>
  <si>
    <r>
      <t>Angle (</t>
    </r>
    <r>
      <rPr>
        <sz val="11"/>
        <color theme="1"/>
        <rFont val="Calibri"/>
        <family val="2"/>
      </rPr>
      <t>ϴ)</t>
    </r>
  </si>
  <si>
    <t>Chain Length</t>
  </si>
  <si>
    <t>mg</t>
  </si>
  <si>
    <r>
      <t>W</t>
    </r>
    <r>
      <rPr>
        <vertAlign val="subscript"/>
        <sz val="11"/>
        <color theme="1"/>
        <rFont val="Calibri"/>
        <family val="2"/>
        <scheme val="minor"/>
      </rPr>
      <t>2</t>
    </r>
  </si>
  <si>
    <t>inches</t>
  </si>
  <si>
    <t>Distances from Rear Wheel</t>
  </si>
  <si>
    <t>T*sin(ϴ)</t>
  </si>
  <si>
    <r>
      <t>Tractor Hitch Height (H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)</t>
    </r>
  </si>
  <si>
    <t>Number of weights on front</t>
  </si>
  <si>
    <t>Number of weights on back</t>
  </si>
  <si>
    <t>degrees</t>
  </si>
  <si>
    <t>Column1</t>
  </si>
  <si>
    <t>Column2</t>
  </si>
  <si>
    <t>No</t>
  </si>
  <si>
    <t>T*cos(ϴ)</t>
  </si>
  <si>
    <t>Moment (Mo) EQN (in*lbs)</t>
  </si>
  <si>
    <t>Fx (→ = +)</t>
  </si>
  <si>
    <r>
      <t>Fy (</t>
    </r>
    <r>
      <rPr>
        <sz val="11"/>
        <color theme="1"/>
        <rFont val="Calibri"/>
        <family val="2"/>
      </rPr>
      <t>↑ = +</t>
    </r>
    <r>
      <rPr>
        <sz val="11"/>
        <color theme="1"/>
        <rFont val="Calibri"/>
        <family val="2"/>
        <scheme val="minor"/>
      </rPr>
      <t>)</t>
    </r>
  </si>
  <si>
    <t>Metal</t>
  </si>
  <si>
    <t>3-D Printed</t>
  </si>
  <si>
    <r>
      <t>N</t>
    </r>
    <r>
      <rPr>
        <vertAlign val="subscript"/>
        <sz val="11"/>
        <color theme="1"/>
        <rFont val="Calibri"/>
        <family val="2"/>
        <scheme val="minor"/>
      </rPr>
      <t>R</t>
    </r>
  </si>
  <si>
    <r>
      <t>N</t>
    </r>
    <r>
      <rPr>
        <b/>
        <vertAlign val="subscript"/>
        <sz val="11"/>
        <color theme="1"/>
        <rFont val="Calibri"/>
        <family val="2"/>
        <scheme val="minor"/>
      </rPr>
      <t>R</t>
    </r>
  </si>
  <si>
    <t>Base Weigth of tractor (mg)</t>
  </si>
  <si>
    <t xml:space="preserve">lbs </t>
  </si>
  <si>
    <t>Units</t>
  </si>
  <si>
    <t>Item</t>
  </si>
  <si>
    <t>Unit</t>
  </si>
  <si>
    <t>Measurement</t>
  </si>
  <si>
    <t>Dimension</t>
  </si>
  <si>
    <t>#</t>
  </si>
  <si>
    <t>Selection</t>
  </si>
  <si>
    <r>
      <t>W</t>
    </r>
    <r>
      <rPr>
        <vertAlign val="subscript"/>
        <sz val="11"/>
        <color theme="1"/>
        <rFont val="Calibri"/>
        <family val="2"/>
        <scheme val="minor"/>
      </rPr>
      <t>1</t>
    </r>
  </si>
  <si>
    <r>
      <t>N</t>
    </r>
    <r>
      <rPr>
        <vertAlign val="subscript"/>
        <sz val="11"/>
        <color theme="1"/>
        <rFont val="Calibri"/>
        <family val="2"/>
        <scheme val="minor"/>
      </rPr>
      <t>F</t>
    </r>
  </si>
  <si>
    <r>
      <t>To Rear Weight Bracket (d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</si>
  <si>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To Front Wheel (d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</si>
  <si>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Are you pulling with a Body on the Tractor?</t>
  </si>
  <si>
    <r>
      <t>To Front Weight Bracket (d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)</t>
    </r>
  </si>
  <si>
    <r>
      <t>To Rear Hitch (d</t>
    </r>
    <r>
      <rPr>
        <vertAlign val="sub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>)</t>
    </r>
  </si>
  <si>
    <r>
      <t>To Metal Body Center ~ (d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</si>
  <si>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To 3-D Body  ~ (d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</si>
  <si>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W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*d</t>
    </r>
    <r>
      <rPr>
        <vertAlign val="subscript"/>
        <sz val="11"/>
        <color theme="1"/>
        <rFont val="Calibri"/>
        <family val="2"/>
        <scheme val="minor"/>
      </rPr>
      <t>4</t>
    </r>
  </si>
  <si>
    <r>
      <t>N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*d</t>
    </r>
    <r>
      <rPr>
        <vertAlign val="subscript"/>
        <sz val="11"/>
        <color theme="1"/>
        <rFont val="Calibri"/>
        <family val="2"/>
        <scheme val="minor"/>
      </rPr>
      <t>3</t>
    </r>
  </si>
  <si>
    <r>
      <t>mg*d</t>
    </r>
    <r>
      <rPr>
        <vertAlign val="subscript"/>
        <sz val="11"/>
        <color theme="1"/>
        <rFont val="Calibri"/>
        <family val="2"/>
        <scheme val="minor"/>
      </rPr>
      <t>1</t>
    </r>
  </si>
  <si>
    <t>Metal Body Weight (mb)</t>
  </si>
  <si>
    <t>3-D Body Weight (3D)</t>
  </si>
  <si>
    <r>
      <t>Weight on Rear  Bracket (W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</si>
  <si>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Weight on Front Bracket (W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</si>
  <si>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t>mb</t>
  </si>
  <si>
    <r>
      <t>W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*d</t>
    </r>
    <r>
      <rPr>
        <vertAlign val="subscript"/>
        <sz val="11"/>
        <color theme="1"/>
        <rFont val="Calibri"/>
        <family val="2"/>
        <scheme val="minor"/>
      </rPr>
      <t>2</t>
    </r>
  </si>
  <si>
    <r>
      <t>T*cos(</t>
    </r>
    <r>
      <rPr>
        <sz val="11"/>
        <color theme="1"/>
        <rFont val="Calibri"/>
        <family val="2"/>
      </rPr>
      <t>ϴ)</t>
    </r>
    <r>
      <rPr>
        <sz val="11"/>
        <color theme="1"/>
        <rFont val="Calibri"/>
        <family val="2"/>
        <scheme val="minor"/>
      </rPr>
      <t>*H</t>
    </r>
    <r>
      <rPr>
        <vertAlign val="subscript"/>
        <sz val="11"/>
        <color theme="1"/>
        <rFont val="Calibri"/>
        <family val="2"/>
        <scheme val="minor"/>
      </rPr>
      <t>h</t>
    </r>
  </si>
  <si>
    <r>
      <t>T*sin(ϴ)*d</t>
    </r>
    <r>
      <rPr>
        <vertAlign val="subscript"/>
        <sz val="11"/>
        <color theme="1"/>
        <rFont val="Calibri"/>
        <family val="2"/>
        <scheme val="minor"/>
      </rPr>
      <t>5</t>
    </r>
  </si>
  <si>
    <t>Sled Hitch Height</t>
  </si>
  <si>
    <r>
      <t>To Center of Gravity for base (d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</si>
  <si>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t xml:space="preserve">Mo (clockwise = +) </t>
  </si>
  <si>
    <t xml:space="preserve">Front Wheel Force Assumption  </t>
  </si>
  <si>
    <t xml:space="preserve">Select the hitch height for the tractor and sled. "1" is the lowest height setting for each. </t>
  </si>
  <si>
    <t xml:space="preserve">Input the length of the chain used </t>
  </si>
  <si>
    <t>Select if a body is used during the pulls</t>
  </si>
  <si>
    <t>Make front wheel force assumptions</t>
  </si>
  <si>
    <t>4a if you expect the wheels to be in the air at the end of the track the value would be "0"</t>
  </si>
  <si>
    <t>Enter the number of weight to be added to the front and rear brackets</t>
  </si>
  <si>
    <r>
      <t>wb*d</t>
    </r>
    <r>
      <rPr>
        <vertAlign val="subscript"/>
        <sz val="11"/>
        <color theme="1"/>
        <rFont val="Calibri"/>
        <family val="2"/>
        <scheme val="minor"/>
      </rPr>
      <t>2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</si>
  <si>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R</t>
    </r>
  </si>
  <si>
    <t>Tractor Hh</t>
  </si>
  <si>
    <t>Sled Hh</t>
  </si>
  <si>
    <t>Adjust front wheel force assumption as needed</t>
  </si>
  <si>
    <r>
      <t>F</t>
    </r>
    <r>
      <rPr>
        <vertAlign val="subscript"/>
        <sz val="11"/>
        <color theme="1"/>
        <rFont val="Calibri"/>
        <family val="2"/>
        <scheme val="minor"/>
      </rPr>
      <t>R</t>
    </r>
  </si>
  <si>
    <r>
      <t>wb</t>
    </r>
    <r>
      <rPr>
        <vertAlign val="subscript"/>
        <sz val="11"/>
        <color theme="1"/>
        <rFont val="Calibri"/>
        <family val="2"/>
        <scheme val="minor"/>
      </rPr>
      <t>3D</t>
    </r>
    <r>
      <rPr>
        <sz val="11"/>
        <color theme="1"/>
        <rFont val="Calibri"/>
        <family val="2"/>
        <scheme val="minor"/>
      </rPr>
      <t xml:space="preserve"> *d</t>
    </r>
    <r>
      <rPr>
        <vertAlign val="subscript"/>
        <sz val="11"/>
        <color theme="1"/>
        <rFont val="Calibri"/>
        <family val="2"/>
        <scheme val="minor"/>
      </rPr>
      <t>2</t>
    </r>
  </si>
  <si>
    <r>
      <t>wb</t>
    </r>
    <r>
      <rPr>
        <vertAlign val="subscript"/>
        <sz val="11"/>
        <color theme="1"/>
        <rFont val="Calibri"/>
        <family val="2"/>
        <scheme val="minor"/>
      </rPr>
      <t>3D</t>
    </r>
  </si>
  <si>
    <t>This will solve for T=drawbar force</t>
  </si>
  <si>
    <t>Traction force (FR)</t>
  </si>
  <si>
    <t>inch</t>
  </si>
  <si>
    <t>Instructions for using RC Pulling Force Calculator</t>
  </si>
  <si>
    <t>Normal force for the rear wheel (NR)</t>
  </si>
  <si>
    <t>4b if sled hitch point is higher than the tractor's hitch 1-4 lbs may be valid assumptions</t>
  </si>
  <si>
    <r>
      <t>Body W</t>
    </r>
    <r>
      <rPr>
        <vertAlign val="subscript"/>
        <sz val="11"/>
        <color theme="1"/>
        <rFont val="Calibri"/>
        <family val="2"/>
        <scheme val="minor"/>
      </rPr>
      <t>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</si>
</sst>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theme="9"/>
      </patternFill>
    </fill>
  </fills>
  <borders count="5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2" fontId="0" fillId="0" borderId="0" xfId="0" applyNumberFormat="1"/>
    <xf numFmtId="2" fontId="0" fillId="0" borderId="0" xfId="0" applyNumberFormat="1"/>
    <xf numFmtId="0" fontId="0" fillId="0" borderId="0" xfId="0" quotePrefix="1"/>
    <xf numFmtId="164" fontId="0" fillId="0" borderId="0" xfId="0" applyNumberFormat="1"/>
    <xf numFmtId="164" fontId="1" fillId="0" borderId="0" xfId="0" applyNumberFormat="1" applyFont="1"/>
    <xf numFmtId="0" fontId="1" fillId="0" borderId="0" xfId="0" applyFont="1"/>
    <xf numFmtId="164" fontId="0" fillId="0" borderId="1" xfId="0" applyNumberFormat="1" applyFont="1" applyBorder="1"/>
    <xf numFmtId="0" fontId="0" fillId="0" borderId="2" xfId="0" applyFont="1" applyBorder="1"/>
    <xf numFmtId="0" fontId="4" fillId="3" borderId="3" xfId="0" applyFont="1" applyFill="1" applyBorder="1"/>
    <xf numFmtId="0" fontId="4" fillId="3" borderId="4" xfId="0" applyFont="1" applyFill="1" applyBorder="1"/>
    <xf numFmtId="0" fontId="0" fillId="0" borderId="3" xfId="0" applyFont="1" applyBorder="1"/>
    <xf numFmtId="0" fontId="0" fillId="0" borderId="0" xfId="0" applyAlignment="1"/>
    <xf numFmtId="0" fontId="0" fillId="0" borderId="0" xfId="0" applyFill="1"/>
    <xf numFmtId="164" fontId="1" fillId="2" borderId="0" xfId="0" applyNumberFormat="1" applyFont="1" applyFill="1" applyAlignment="1">
      <alignment horizontal="center"/>
    </xf>
    <xf numFmtId="0" fontId="0" fillId="2" borderId="4" xfId="0" applyFont="1" applyFill="1" applyBorder="1" applyProtection="1">
      <protection locked="0"/>
    </xf>
    <xf numFmtId="0" fontId="0" fillId="2" borderId="0" xfId="0" applyFill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</cellXfs>
  <cellStyles count="1">
    <cellStyle name="Normal" xfId="0" builtinId="0"/>
  </cellStyles>
  <dxfs count="7">
    <dxf>
      <numFmt numFmtId="164" formatCode="0.0"/>
    </dxf>
    <dxf>
      <numFmt numFmtId="0" formatCode="General"/>
    </dxf>
    <dxf>
      <numFmt numFmtId="164" formatCode="0.0"/>
    </dxf>
    <dxf>
      <numFmt numFmtId="164" formatCode="0.0"/>
    </dxf>
    <dxf>
      <numFmt numFmtId="0" formatCode="General"/>
    </dxf>
    <dxf>
      <numFmt numFmtId="164" formatCode="0.0"/>
    </dxf>
    <dxf>
      <numFmt numFmtId="0" formatCode="General"/>
    </dxf>
  </dxfs>
  <tableStyles count="0" defaultTableStyle="TableStyleMedium2" defaultPivotStyle="PivotStyleLight16"/>
  <colors>
    <mruColors>
      <color rgb="FFEEF2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Style="simple" dx="22" sel="0" val="0" widthMin="120"/>
</file>

<file path=xl/ctrlProps/ctrlProp2.xml><?xml version="1.0" encoding="utf-8"?>
<formControlPr xmlns="http://schemas.microsoft.com/office/spreadsheetml/2009/9/main" objectType="Drop" dropStyle="simple" dx="22" sel="0" val="0" widthMin="12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596347</xdr:colOff>
      <xdr:row>0</xdr:row>
      <xdr:rowOff>161925</xdr:rowOff>
    </xdr:from>
    <xdr:to>
      <xdr:col>19</xdr:col>
      <xdr:colOff>447675</xdr:colOff>
      <xdr:row>17</xdr:row>
      <xdr:rowOff>13243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1304" y="161925"/>
          <a:ext cx="4141719" cy="3089818"/>
        </a:xfrm>
        <a:prstGeom prst="rect">
          <a:avLst/>
        </a:prstGeom>
      </xdr:spPr>
    </xdr:pic>
    <xdr:clientData/>
  </xdr:twoCellAnchor>
  <xdr:twoCellAnchor editAs="oneCell">
    <xdr:from>
      <xdr:col>13</xdr:col>
      <xdr:colOff>24848</xdr:colOff>
      <xdr:row>17</xdr:row>
      <xdr:rowOff>16565</xdr:rowOff>
    </xdr:from>
    <xdr:to>
      <xdr:col>19</xdr:col>
      <xdr:colOff>472109</xdr:colOff>
      <xdr:row>33</xdr:row>
      <xdr:rowOff>62119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92718" y="3255065"/>
          <a:ext cx="4124739" cy="3093554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198782</xdr:colOff>
      <xdr:row>17</xdr:row>
      <xdr:rowOff>41413</xdr:rowOff>
    </xdr:from>
    <xdr:to>
      <xdr:col>9</xdr:col>
      <xdr:colOff>495817</xdr:colOff>
      <xdr:row>31</xdr:row>
      <xdr:rowOff>62982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1695" y="3279913"/>
          <a:ext cx="5200339" cy="26885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286374</xdr:colOff>
      <xdr:row>0</xdr:row>
      <xdr:rowOff>72259</xdr:rowOff>
    </xdr:from>
    <xdr:to>
      <xdr:col>11</xdr:col>
      <xdr:colOff>390435</xdr:colOff>
      <xdr:row>22</xdr:row>
      <xdr:rowOff>153782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0588" y="72259"/>
          <a:ext cx="6156518" cy="4615423"/>
        </a:xfrm>
        <a:prstGeom prst="rect">
          <a:avLst/>
        </a:prstGeom>
      </xdr:spPr>
    </xdr:pic>
    <xdr:clientData/>
  </xdr:twoCellAnchor>
  <xdr:twoCellAnchor>
    <xdr:from>
      <xdr:col>6</xdr:col>
      <xdr:colOff>865375</xdr:colOff>
      <xdr:row>8</xdr:row>
      <xdr:rowOff>118240</xdr:rowOff>
    </xdr:from>
    <xdr:to>
      <xdr:col>7</xdr:col>
      <xdr:colOff>445132</xdr:colOff>
      <xdr:row>12</xdr:row>
      <xdr:rowOff>32844</xdr:rowOff>
    </xdr:to>
    <xdr:sp macro="" textlink="$V$12">
      <xdr:nvSpPr>
        <xdr:cNvPr id="8" name="Arrow: Dow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752685" y="1681654"/>
          <a:ext cx="486275" cy="834259"/>
        </a:xfrm>
        <a:prstGeom prst="downArrow">
          <a:avLst/>
        </a:prstGeom>
        <a:solidFill>
          <a:srgbClr val="EEF23E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fld id="{30A124EE-804A-4994-83B9-CB8DE6DF28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0.8</a:t>
          </a:fld>
          <a:endParaRPr lang="en-US" sz="1100"/>
        </a:p>
      </xdr:txBody>
    </xdr:sp>
    <xdr:clientData/>
  </xdr:twoCellAnchor>
  <xdr:twoCellAnchor>
    <xdr:from>
      <xdr:col>9</xdr:col>
      <xdr:colOff>294783</xdr:colOff>
      <xdr:row>16</xdr:row>
      <xdr:rowOff>93607</xdr:rowOff>
    </xdr:from>
    <xdr:to>
      <xdr:col>10</xdr:col>
      <xdr:colOff>570722</xdr:colOff>
      <xdr:row>19</xdr:row>
      <xdr:rowOff>6739</xdr:rowOff>
    </xdr:to>
    <xdr:sp macro="" textlink="$R$30">
      <xdr:nvSpPr>
        <xdr:cNvPr id="9" name="Arrow: Lef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737421" y="3456917"/>
          <a:ext cx="978818" cy="484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1203BD1-1C0C-4EC0-93B0-2D2C2B7527D8}" type="TxLink">
            <a:rPr lang="en-US" sz="11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25.9</a:t>
          </a:fld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705355</xdr:colOff>
      <xdr:row>17</xdr:row>
      <xdr:rowOff>124811</xdr:rowOff>
    </xdr:from>
    <xdr:to>
      <xdr:col>9</xdr:col>
      <xdr:colOff>627963</xdr:colOff>
      <xdr:row>21</xdr:row>
      <xdr:rowOff>39415</xdr:rowOff>
    </xdr:to>
    <xdr:sp macro="" textlink="$P$27">
      <xdr:nvSpPr>
        <xdr:cNvPr id="10" name="Arrow: Up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346579" y="3678621"/>
          <a:ext cx="724022" cy="716018"/>
        </a:xfrm>
        <a:prstGeom prst="upArrow">
          <a:avLst>
            <a:gd name="adj1" fmla="val 50000"/>
            <a:gd name="adj2" fmla="val 56694"/>
          </a:avLst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fld id="{6ABEE182-BC64-4D0A-8C6C-5A70C7FCD4CA}" type="TxLink">
            <a:rPr lang="en-US" sz="1100" b="1" i="0" u="sng" strike="noStrike">
              <a:solidFill>
                <a:schemeClr val="bg1"/>
              </a:solidFill>
              <a:latin typeface="Calibri"/>
              <a:cs typeface="Calibri"/>
            </a:rPr>
            <a:pPr algn="ctr"/>
            <a:t>11.4</a:t>
          </a:fld>
          <a:endParaRPr lang="en-US" sz="1100" u="sng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500742</xdr:colOff>
      <xdr:row>16</xdr:row>
      <xdr:rowOff>75626</xdr:rowOff>
    </xdr:from>
    <xdr:to>
      <xdr:col>5</xdr:col>
      <xdr:colOff>402430</xdr:colOff>
      <xdr:row>21</xdr:row>
      <xdr:rowOff>59872</xdr:rowOff>
    </xdr:to>
    <xdr:sp macro="" textlink="$C$8">
      <xdr:nvSpPr>
        <xdr:cNvPr id="5" name="Arrow: Up 10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755571" y="3428426"/>
          <a:ext cx="636473" cy="974846"/>
        </a:xfrm>
        <a:prstGeom prst="upArrow">
          <a:avLst>
            <a:gd name="adj1" fmla="val 50000"/>
            <a:gd name="adj2" fmla="val 56694"/>
          </a:avLst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fld id="{3B56B1C9-21C0-40DC-A51E-675DF507663F}" type="TxLink">
            <a:rPr lang="en-US" sz="1100" b="1" i="0" u="none" strike="noStrike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dist="38100" dir="2700000" algn="bl" rotWithShape="0">
                  <a:schemeClr val="accent5"/>
                </a:outerShdw>
              </a:effectLst>
              <a:latin typeface="Calibri"/>
              <a:cs typeface="Calibri"/>
            </a:rPr>
            <a:pPr algn="ctr"/>
            <a:t>1</a:t>
          </a:fld>
          <a:endParaRPr lang="en-US" sz="1100" b="1" cap="none" spc="0">
            <a:ln w="13462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7</xdr:col>
      <xdr:colOff>329680</xdr:colOff>
      <xdr:row>6</xdr:row>
      <xdr:rowOff>40851</xdr:rowOff>
    </xdr:from>
    <xdr:to>
      <xdr:col>8</xdr:col>
      <xdr:colOff>20117</xdr:colOff>
      <xdr:row>13</xdr:row>
      <xdr:rowOff>0</xdr:rowOff>
    </xdr:to>
    <xdr:sp macro="" textlink="$V$3">
      <xdr:nvSpPr>
        <xdr:cNvPr id="13" name="Arrow: Dow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123508" y="1223265"/>
          <a:ext cx="537833" cy="1489718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fld id="{9404B3AE-7C27-471F-A3A9-9805CF4BD1D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6.42</a:t>
          </a:fld>
          <a:endParaRPr lang="en-US" sz="1100"/>
        </a:p>
      </xdr:txBody>
    </xdr:sp>
    <xdr:clientData/>
  </xdr:twoCellAnchor>
  <xdr:twoCellAnchor>
    <xdr:from>
      <xdr:col>10</xdr:col>
      <xdr:colOff>110645</xdr:colOff>
      <xdr:row>13</xdr:row>
      <xdr:rowOff>35717</xdr:rowOff>
    </xdr:from>
    <xdr:to>
      <xdr:col>11</xdr:col>
      <xdr:colOff>481835</xdr:colOff>
      <xdr:row>15</xdr:row>
      <xdr:rowOff>71607</xdr:rowOff>
    </xdr:to>
    <xdr:sp macro="" textlink="$P$23">
      <xdr:nvSpPr>
        <xdr:cNvPr id="14" name="Arrow: Right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 rot="1217235">
          <a:off x="8256162" y="2748700"/>
          <a:ext cx="982104" cy="495717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7A6E85F-E004-4F88-9667-1287BCA42C4F}" type="TxLink">
            <a:rPr lang="en-US" sz="1100" b="1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26.0</a:t>
          </a:fld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343516</xdr:colOff>
      <xdr:row>8</xdr:row>
      <xdr:rowOff>124810</xdr:rowOff>
    </xdr:from>
    <xdr:to>
      <xdr:col>4</xdr:col>
      <xdr:colOff>268555</xdr:colOff>
      <xdr:row>11</xdr:row>
      <xdr:rowOff>159833</xdr:rowOff>
    </xdr:to>
    <xdr:sp macro="" textlink="$V$11">
      <xdr:nvSpPr>
        <xdr:cNvPr id="15" name="Arrow: Dow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3043361" y="1688224"/>
          <a:ext cx="489970" cy="724764"/>
        </a:xfrm>
        <a:prstGeom prst="downArrow">
          <a:avLst/>
        </a:prstGeom>
        <a:solidFill>
          <a:srgbClr val="EEF23E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fld id="{FFC384B4-6A33-4B7A-8CCE-2CEDD5BDA41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1.6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</xdr:row>
          <xdr:rowOff>0</xdr:rowOff>
        </xdr:from>
        <xdr:to>
          <xdr:col>2</xdr:col>
          <xdr:colOff>0</xdr:colOff>
          <xdr:row>11</xdr:row>
          <xdr:rowOff>0</xdr:rowOff>
        </xdr:to>
        <xdr:sp macro="" textlink="">
          <xdr:nvSpPr>
            <xdr:cNvPr id="7175" name="Control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3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</xdr:row>
          <xdr:rowOff>0</xdr:rowOff>
        </xdr:from>
        <xdr:to>
          <xdr:col>3</xdr:col>
          <xdr:colOff>0</xdr:colOff>
          <xdr:row>4</xdr:row>
          <xdr:rowOff>0</xdr:rowOff>
        </xdr:to>
        <xdr:sp macro="" textlink="">
          <xdr:nvSpPr>
            <xdr:cNvPr id="7177" name="Control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3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ckson, Joshua" id="{872396F0-CDC3-4AB2-AD85-69C39C6BC9D8}" userId="S::jjjack3@uky.edu::a985920e-ca42-4a3c-8d83-11d58ca548b3" providerId="AD"/>
</personList>
</file>

<file path=xl/tables/table1.xml><?xml version="1.0" encoding="utf-8"?>
<table xmlns="http://schemas.openxmlformats.org/spreadsheetml/2006/main" id="14" name="Table115" displayName="Table115" ref="O21:X23" totalsRowShown="0">
  <autoFilter ref="O21:X23"/>
  <tableColumns count="10">
    <tableColumn id="1" name="Moment (Mo) EQN (in*lbs)"/>
    <tableColumn id="2" name="=">
      <calculatedColumnFormula>(-SUM(Q21:T21))/(U21+V21)</calculatedColumnFormula>
    </tableColumn>
    <tableColumn id="3" name="W1*d4" dataDxfId="6">
      <calculatedColumnFormula>-P12*V11</calculatedColumnFormula>
    </tableColumn>
    <tableColumn id="4" name="NF*d3"/>
    <tableColumn id="5" name="mg*d1" dataDxfId="5">
      <calculatedColumnFormula>-P9*V3</calculatedColumnFormula>
    </tableColumn>
    <tableColumn id="6" name="W2*d2" dataDxfId="4">
      <calculatedColumnFormula>-P10*V12</calculatedColumnFormula>
    </tableColumn>
    <tableColumn id="7" name="T*cos(ϴ)*Hh"/>
    <tableColumn id="8" name="T*sin(ϴ)*d5" dataDxfId="3">
      <calculatedColumnFormula>P13*SIN(Q5*PI()/180)</calculatedColumnFormula>
    </tableColumn>
    <tableColumn id="9" name="wb*d2" dataDxfId="2">
      <calculatedColumnFormula>IF($C$5="metal",-$V$5*$P$14,"")</calculatedColumnFormula>
    </tableColumn>
    <tableColumn id="10" name="wb3D *d2" dataDxfId="1">
      <calculatedColumnFormula>IF($C$5="3-D printed",-$V$6*$P$15,"")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5" name="Table216" displayName="Table216" ref="O25:X27" totalsRowShown="0">
  <autoFilter ref="O25:X27"/>
  <tableColumns count="10">
    <tableColumn id="1" name="Fy (↑ = +)"/>
    <tableColumn id="2" name="=">
      <calculatedColumnFormula>SUM(Q25:X25)</calculatedColumnFormula>
    </tableColumn>
    <tableColumn id="3" name="W1"/>
    <tableColumn id="4" name="NF"/>
    <tableColumn id="5" name="mg"/>
    <tableColumn id="6" name="W2"/>
    <tableColumn id="7" name="NR"/>
    <tableColumn id="8" name="T*sin(ϴ)" dataDxfId="0">
      <calculatedColumnFormula>-P23*SIN(Q5*PI()/180)</calculatedColumnFormula>
    </tableColumn>
    <tableColumn id="9" name="mb"/>
    <tableColumn id="10" name="wb3D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16" name="Table317" displayName="Table317" ref="O29:R31" totalsRowShown="0">
  <autoFilter ref="O29:R31"/>
  <tableColumns count="4">
    <tableColumn id="1" name="Fx (→ = +)"/>
    <tableColumn id="2" name="=">
      <calculatedColumnFormula>-R29</calculatedColumnFormula>
    </tableColumn>
    <tableColumn id="3" name="FR"/>
    <tableColumn id="4" name="T*cos(ϴ)"/>
  </tableColumns>
  <tableStyleInfo name="TableStyleLight12" showFirstColumn="0" showLastColumn="0" showRowStripes="1" showColumnStripes="0"/>
</table>
</file>

<file path=xl/tables/table4.xml><?xml version="1.0" encoding="utf-8"?>
<table xmlns="http://schemas.openxmlformats.org/spreadsheetml/2006/main" id="17" name="Table718" displayName="Table718" ref="O8:Q15" totalsRowShown="0">
  <autoFilter ref="O8:Q15"/>
  <tableColumns count="3">
    <tableColumn id="1" name="Distances from Rear Wheel"/>
    <tableColumn id="2" name="Measurement"/>
    <tableColumn id="3" name="Unit"/>
  </tableColumns>
  <tableStyleInfo name="TableStyleLight14" showFirstColumn="0" showLastColumn="0" showRowStripes="1" showColumnStripes="0"/>
</table>
</file>

<file path=xl/tables/table5.xml><?xml version="1.0" encoding="utf-8"?>
<table xmlns="http://schemas.openxmlformats.org/spreadsheetml/2006/main" id="18" name="Table819" displayName="Table819" ref="O1:R5" totalsRowShown="0">
  <autoFilter ref="O1:R5"/>
  <tableColumns count="4">
    <tableColumn id="1" name="Column1"/>
    <tableColumn id="2" name="Column2"/>
    <tableColumn id="3" name="Dimension"/>
    <tableColumn id="4" name="Units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" dT="2019-10-07T22:39:04.34" personId="{872396F0-CDC3-4AB2-AD85-69C39C6BC9D8}" id="{4874D914-A4BC-4385-BB8C-F391FE6E2C38}">
    <text>1 is the lowest, and 5 is the highest hitch point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2.xml"/><Relationship Id="rId12" Type="http://schemas.microsoft.com/office/2017/10/relationships/threadedComment" Target="../threadedComments/threadedComment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11" Type="http://schemas.openxmlformats.org/officeDocument/2006/relationships/comments" Target="../comments1.xml"/><Relationship Id="rId5" Type="http://schemas.openxmlformats.org/officeDocument/2006/relationships/ctrlProp" Target="../ctrlProps/ctrlProp2.xml"/><Relationship Id="rId10" Type="http://schemas.openxmlformats.org/officeDocument/2006/relationships/table" Target="../tables/table5.xml"/><Relationship Id="rId4" Type="http://schemas.openxmlformats.org/officeDocument/2006/relationships/ctrlProp" Target="../ctrlProps/ctrlProp1.xml"/><Relationship Id="rId9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zoomScaleNormal="100" workbookViewId="0">
      <selection activeCell="B13" sqref="B13"/>
    </sheetView>
  </sheetViews>
  <sheetFormatPr defaultRowHeight="15" x14ac:dyDescent="0.25"/>
  <sheetData>
    <row r="1" spans="1:3" x14ac:dyDescent="0.25">
      <c r="A1" t="s">
        <v>79</v>
      </c>
    </row>
    <row r="2" spans="1:3" x14ac:dyDescent="0.25">
      <c r="A2">
        <v>1</v>
      </c>
      <c r="B2" t="s">
        <v>62</v>
      </c>
    </row>
    <row r="3" spans="1:3" x14ac:dyDescent="0.25">
      <c r="A3">
        <v>2</v>
      </c>
      <c r="B3" t="s">
        <v>63</v>
      </c>
    </row>
    <row r="4" spans="1:3" x14ac:dyDescent="0.25">
      <c r="A4">
        <v>3</v>
      </c>
      <c r="B4" t="s">
        <v>64</v>
      </c>
    </row>
    <row r="5" spans="1:3" x14ac:dyDescent="0.25">
      <c r="A5">
        <v>4</v>
      </c>
      <c r="B5" t="s">
        <v>65</v>
      </c>
    </row>
    <row r="6" spans="1:3" x14ac:dyDescent="0.25">
      <c r="C6" t="s">
        <v>66</v>
      </c>
    </row>
    <row r="7" spans="1:3" x14ac:dyDescent="0.25">
      <c r="C7" t="s">
        <v>81</v>
      </c>
    </row>
    <row r="8" spans="1:3" x14ac:dyDescent="0.25">
      <c r="A8">
        <v>5</v>
      </c>
      <c r="B8" t="s">
        <v>67</v>
      </c>
    </row>
    <row r="9" spans="1:3" x14ac:dyDescent="0.25">
      <c r="A9">
        <v>6</v>
      </c>
      <c r="B9" t="s">
        <v>72</v>
      </c>
    </row>
    <row r="11" spans="1:3" x14ac:dyDescent="0.25">
      <c r="B11" t="s">
        <v>76</v>
      </c>
    </row>
    <row r="12" spans="1:3" x14ac:dyDescent="0.25">
      <c r="B12" t="s">
        <v>77</v>
      </c>
    </row>
    <row r="13" spans="1:3" x14ac:dyDescent="0.25">
      <c r="B13" t="s">
        <v>80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1"/>
  <sheetViews>
    <sheetView tabSelected="1" topLeftCell="E4" zoomScale="145" zoomScaleNormal="145" workbookViewId="0">
      <selection activeCell="C12" sqref="C12"/>
    </sheetView>
  </sheetViews>
  <sheetFormatPr defaultRowHeight="15" x14ac:dyDescent="0.25"/>
  <cols>
    <col min="1" max="1" width="16.140625" customWidth="1"/>
    <col min="2" max="2" width="13.5703125" customWidth="1"/>
    <col min="3" max="3" width="10.7109375" customWidth="1"/>
    <col min="4" max="4" width="8.42578125" customWidth="1"/>
    <col min="5" max="5" width="11" customWidth="1"/>
    <col min="6" max="6" width="13.28515625" customWidth="1"/>
    <col min="7" max="7" width="13.5703125" customWidth="1"/>
    <col min="8" max="8" width="12.7109375" bestFit="1" customWidth="1"/>
    <col min="9" max="9" width="12" customWidth="1"/>
    <col min="10" max="10" width="10.5703125" customWidth="1"/>
    <col min="15" max="15" width="39.28515625" customWidth="1"/>
    <col min="17" max="17" width="38.5703125" customWidth="1"/>
  </cols>
  <sheetData>
    <row r="1" spans="1:32" x14ac:dyDescent="0.25">
      <c r="A1" s="11" t="s">
        <v>32</v>
      </c>
      <c r="C1" s="12" t="s">
        <v>37</v>
      </c>
      <c r="O1" t="s">
        <v>18</v>
      </c>
      <c r="P1" t="s">
        <v>19</v>
      </c>
      <c r="Q1" t="s">
        <v>35</v>
      </c>
      <c r="R1" t="s">
        <v>31</v>
      </c>
      <c r="Z1" t="s">
        <v>37</v>
      </c>
      <c r="AA1" t="s">
        <v>70</v>
      </c>
      <c r="AC1" t="s">
        <v>71</v>
      </c>
    </row>
    <row r="2" spans="1:32" ht="18" x14ac:dyDescent="0.35">
      <c r="A2" s="13" t="s">
        <v>14</v>
      </c>
      <c r="C2" s="17">
        <v>2</v>
      </c>
      <c r="Q2">
        <f>VLOOKUP(C2,Z2:AC6,2,)</f>
        <v>2</v>
      </c>
      <c r="R2" t="s">
        <v>2</v>
      </c>
      <c r="X2" s="14"/>
      <c r="Z2">
        <v>1</v>
      </c>
      <c r="AA2" s="3">
        <v>1.125</v>
      </c>
      <c r="AB2" s="3">
        <f>AA2</f>
        <v>1.125</v>
      </c>
      <c r="AC2" s="3">
        <v>0.6875</v>
      </c>
      <c r="AD2" s="3">
        <f>AC2-X1</f>
        <v>0.6875</v>
      </c>
    </row>
    <row r="3" spans="1:32" x14ac:dyDescent="0.25">
      <c r="A3" s="13" t="s">
        <v>58</v>
      </c>
      <c r="C3" s="17">
        <v>3</v>
      </c>
      <c r="Q3">
        <f>VLOOKUP(C3,Z2:AC6,4,)</f>
        <v>1.6875</v>
      </c>
      <c r="R3" t="s">
        <v>2</v>
      </c>
      <c r="T3" s="19" t="s">
        <v>29</v>
      </c>
      <c r="U3" s="19"/>
      <c r="V3" s="4">
        <v>6.4198899999999997</v>
      </c>
      <c r="W3" t="s">
        <v>0</v>
      </c>
      <c r="X3" s="14"/>
      <c r="Z3">
        <v>2</v>
      </c>
      <c r="AA3">
        <v>2</v>
      </c>
      <c r="AB3" s="3">
        <f t="shared" ref="AB3:AB6" si="0">AA3-AA2</f>
        <v>0.875</v>
      </c>
      <c r="AC3" s="3">
        <v>1.25</v>
      </c>
      <c r="AD3" s="3">
        <f>AC3-AC2</f>
        <v>0.5625</v>
      </c>
      <c r="AE3" s="4">
        <f>AD5</f>
        <v>0.4375</v>
      </c>
    </row>
    <row r="4" spans="1:32" x14ac:dyDescent="0.25">
      <c r="A4" s="13" t="s">
        <v>8</v>
      </c>
      <c r="C4" s="17">
        <v>4</v>
      </c>
      <c r="D4" t="s">
        <v>78</v>
      </c>
      <c r="R4" t="s">
        <v>2</v>
      </c>
      <c r="X4" s="14"/>
      <c r="Z4">
        <v>3</v>
      </c>
      <c r="AA4" s="3">
        <v>2.875</v>
      </c>
      <c r="AB4" s="3">
        <f t="shared" si="0"/>
        <v>0.875</v>
      </c>
      <c r="AC4" s="3">
        <v>1.6875</v>
      </c>
      <c r="AD4" s="3">
        <f>AC4-AC3</f>
        <v>0.4375</v>
      </c>
    </row>
    <row r="5" spans="1:32" x14ac:dyDescent="0.25">
      <c r="A5" s="21" t="s">
        <v>42</v>
      </c>
      <c r="B5" s="21"/>
      <c r="C5" s="18" t="s">
        <v>25</v>
      </c>
      <c r="O5" t="s">
        <v>7</v>
      </c>
      <c r="Q5" s="6">
        <f>DEGREES(ASIN((Q2-Q3)/C4))</f>
        <v>4.4807987859822083</v>
      </c>
      <c r="R5" t="s">
        <v>17</v>
      </c>
      <c r="T5" s="19" t="s">
        <v>50</v>
      </c>
      <c r="U5" s="19"/>
      <c r="V5" s="6">
        <f>CONVERT(711.5,"g","lbm")</f>
        <v>1.568588995445404</v>
      </c>
      <c r="W5" t="s">
        <v>0</v>
      </c>
      <c r="Z5">
        <v>4</v>
      </c>
      <c r="AA5" s="3">
        <v>3.75</v>
      </c>
      <c r="AB5" s="3">
        <f t="shared" si="0"/>
        <v>0.875</v>
      </c>
      <c r="AC5" s="3">
        <v>2.125</v>
      </c>
      <c r="AD5" s="3">
        <f>AC5-AC4</f>
        <v>0.4375</v>
      </c>
      <c r="AE5">
        <f>11/16</f>
        <v>0.6875</v>
      </c>
    </row>
    <row r="6" spans="1:32" x14ac:dyDescent="0.25">
      <c r="A6" s="1" t="s">
        <v>15</v>
      </c>
      <c r="B6" s="1"/>
      <c r="C6" s="18">
        <v>8</v>
      </c>
      <c r="T6" s="19" t="s">
        <v>51</v>
      </c>
      <c r="U6" s="19"/>
      <c r="V6">
        <v>1</v>
      </c>
      <c r="W6" t="s">
        <v>0</v>
      </c>
      <c r="Z6">
        <v>5</v>
      </c>
      <c r="AA6" s="3">
        <v>4.625</v>
      </c>
      <c r="AB6" s="3">
        <f t="shared" si="0"/>
        <v>0.875</v>
      </c>
      <c r="AC6" s="3"/>
    </row>
    <row r="7" spans="1:32" x14ac:dyDescent="0.25">
      <c r="A7" s="1" t="s">
        <v>16</v>
      </c>
      <c r="B7" s="1"/>
      <c r="C7" s="18">
        <v>4</v>
      </c>
    </row>
    <row r="8" spans="1:32" x14ac:dyDescent="0.25">
      <c r="A8" s="19" t="s">
        <v>61</v>
      </c>
      <c r="B8" s="19"/>
      <c r="C8" s="18">
        <v>1</v>
      </c>
      <c r="D8" t="s">
        <v>30</v>
      </c>
      <c r="O8" t="s">
        <v>12</v>
      </c>
      <c r="P8" t="s">
        <v>34</v>
      </c>
      <c r="Q8" t="s">
        <v>33</v>
      </c>
      <c r="T8" s="19" t="s">
        <v>1</v>
      </c>
      <c r="U8" s="19"/>
      <c r="V8" s="15">
        <v>0.2</v>
      </c>
      <c r="W8" t="s">
        <v>0</v>
      </c>
      <c r="AA8" t="s">
        <v>25</v>
      </c>
    </row>
    <row r="9" spans="1:32" ht="18" x14ac:dyDescent="0.35">
      <c r="O9" t="s">
        <v>59</v>
      </c>
      <c r="P9">
        <v>4.5</v>
      </c>
      <c r="Q9" t="s">
        <v>11</v>
      </c>
      <c r="W9" t="s">
        <v>36</v>
      </c>
      <c r="AA9" t="s">
        <v>26</v>
      </c>
      <c r="AC9" s="3">
        <f>2/3</f>
        <v>0.66666666666666663</v>
      </c>
    </row>
    <row r="10" spans="1:32" ht="18" x14ac:dyDescent="0.35">
      <c r="O10" t="s">
        <v>40</v>
      </c>
      <c r="P10">
        <v>5</v>
      </c>
      <c r="Q10" t="s">
        <v>11</v>
      </c>
      <c r="W10" t="s">
        <v>36</v>
      </c>
      <c r="AA10" t="s">
        <v>20</v>
      </c>
      <c r="AC10" s="3">
        <f>AC9+4/9</f>
        <v>1.1111111111111112</v>
      </c>
    </row>
    <row r="11" spans="1:32" ht="18" x14ac:dyDescent="0.35">
      <c r="O11" t="s">
        <v>41</v>
      </c>
      <c r="P11">
        <v>12.5</v>
      </c>
      <c r="Q11" t="s">
        <v>11</v>
      </c>
      <c r="T11" s="19" t="s">
        <v>53</v>
      </c>
      <c r="U11" s="19"/>
      <c r="V11">
        <f>C6*$V$8</f>
        <v>1.6</v>
      </c>
      <c r="W11" t="s">
        <v>0</v>
      </c>
      <c r="AC11" s="3">
        <f t="shared" ref="AC11:AC12" si="1">AC10+4/9</f>
        <v>1.5555555555555556</v>
      </c>
      <c r="AE11" s="3"/>
    </row>
    <row r="12" spans="1:32" ht="18" x14ac:dyDescent="0.35">
      <c r="C12" t="str">
        <f>IF(C5="3-D Printed",C8,"")</f>
        <v/>
      </c>
      <c r="O12" t="s">
        <v>43</v>
      </c>
      <c r="P12">
        <v>16</v>
      </c>
      <c r="Q12" t="s">
        <v>11</v>
      </c>
      <c r="T12" s="19" t="s">
        <v>52</v>
      </c>
      <c r="U12" s="19"/>
      <c r="V12">
        <f>C7*$V$8</f>
        <v>0.8</v>
      </c>
      <c r="W12" t="s">
        <v>0</v>
      </c>
      <c r="AC12" s="3">
        <f t="shared" si="1"/>
        <v>2</v>
      </c>
      <c r="AE12" s="3"/>
    </row>
    <row r="13" spans="1:32" ht="18" x14ac:dyDescent="0.35">
      <c r="O13" t="s">
        <v>44</v>
      </c>
      <c r="P13">
        <v>1</v>
      </c>
      <c r="Q13" t="s">
        <v>11</v>
      </c>
      <c r="AE13" s="3"/>
    </row>
    <row r="14" spans="1:32" ht="18" x14ac:dyDescent="0.35">
      <c r="O14" s="2" t="s">
        <v>45</v>
      </c>
      <c r="P14">
        <v>5</v>
      </c>
      <c r="Q14" t="s">
        <v>11</v>
      </c>
      <c r="T14" s="20"/>
      <c r="U14" s="20"/>
    </row>
    <row r="15" spans="1:32" ht="18" x14ac:dyDescent="0.35">
      <c r="O15" s="2" t="s">
        <v>46</v>
      </c>
      <c r="P15">
        <v>5</v>
      </c>
      <c r="Q15" t="s">
        <v>11</v>
      </c>
      <c r="T15" s="20"/>
      <c r="U15" s="20"/>
      <c r="AF15" s="3">
        <v>2</v>
      </c>
    </row>
    <row r="16" spans="1:32" x14ac:dyDescent="0.25">
      <c r="T16" s="20"/>
      <c r="U16" s="20"/>
      <c r="AC16" t="s">
        <v>4</v>
      </c>
      <c r="AF16" s="3">
        <v>1.5555555555555556</v>
      </c>
    </row>
    <row r="17" spans="7:32" x14ac:dyDescent="0.25">
      <c r="T17" s="20"/>
      <c r="U17" s="20"/>
      <c r="AF17" s="3">
        <v>1.1111111111111112</v>
      </c>
    </row>
    <row r="18" spans="7:32" x14ac:dyDescent="0.25">
      <c r="T18" s="20"/>
      <c r="U18" s="20"/>
      <c r="AF18" s="3">
        <v>0.66666666666666663</v>
      </c>
    </row>
    <row r="21" spans="7:32" ht="18" x14ac:dyDescent="0.35">
      <c r="O21" t="s">
        <v>22</v>
      </c>
      <c r="P21" s="5" t="s">
        <v>6</v>
      </c>
      <c r="Q21" t="s">
        <v>47</v>
      </c>
      <c r="R21" t="s">
        <v>48</v>
      </c>
      <c r="S21" t="s">
        <v>49</v>
      </c>
      <c r="T21" t="s">
        <v>55</v>
      </c>
      <c r="U21" t="s">
        <v>56</v>
      </c>
      <c r="V21" t="s">
        <v>57</v>
      </c>
      <c r="W21" t="s">
        <v>68</v>
      </c>
      <c r="X21" t="s">
        <v>74</v>
      </c>
    </row>
    <row r="22" spans="7:32" x14ac:dyDescent="0.25">
      <c r="O22" t="s">
        <v>60</v>
      </c>
      <c r="P22" s="5" t="s">
        <v>6</v>
      </c>
      <c r="Q22">
        <f>-P12*V11</f>
        <v>-25.6</v>
      </c>
      <c r="R22">
        <f>C8*P11</f>
        <v>12.5</v>
      </c>
      <c r="S22" s="6">
        <f>-P9*V3</f>
        <v>-28.889505</v>
      </c>
      <c r="T22">
        <f>-P10*V12</f>
        <v>-4</v>
      </c>
      <c r="U22" s="6">
        <f>Q2*COS(Q5*PI()/180)</f>
        <v>1.9938871426186588</v>
      </c>
      <c r="V22" s="6">
        <f>P13*SIN(Q5*PI()/180)</f>
        <v>7.8124999999999986E-2</v>
      </c>
      <c r="W22" s="6">
        <f t="shared" ref="W22:W23" si="2">IF($C$5="metal",-$V$5*$P$14,"")</f>
        <v>-7.8429449772270203</v>
      </c>
      <c r="X22" t="str">
        <f>IF($C$5="3-D printed",-$V$6*$P$15,"")</f>
        <v/>
      </c>
    </row>
    <row r="23" spans="7:32" x14ac:dyDescent="0.25">
      <c r="O23" s="8" t="s">
        <v>3</v>
      </c>
      <c r="P23" s="7">
        <f>(-SUM(Q22:T22,W22:X22))/(U22+V22)</f>
        <v>25.980759895157892</v>
      </c>
      <c r="S23" s="6"/>
      <c r="V23" s="6"/>
      <c r="W23" s="6">
        <f t="shared" si="2"/>
        <v>-7.8429449772270203</v>
      </c>
      <c r="X23" t="str">
        <f>IF($C$5="3-D printed",-$V$6*$P$15,"")</f>
        <v/>
      </c>
    </row>
    <row r="25" spans="7:32" ht="18" x14ac:dyDescent="0.35">
      <c r="G25" t="s">
        <v>82</v>
      </c>
      <c r="H25" s="16">
        <f>IF(C5="metal",V5,IF(C5="3-D Printed",V6,""))</f>
        <v>1.568588995445404</v>
      </c>
      <c r="O25" t="s">
        <v>24</v>
      </c>
      <c r="P25" s="5" t="s">
        <v>6</v>
      </c>
      <c r="Q25" t="s">
        <v>38</v>
      </c>
      <c r="R25" t="s">
        <v>39</v>
      </c>
      <c r="S25" t="s">
        <v>9</v>
      </c>
      <c r="T25" t="s">
        <v>10</v>
      </c>
      <c r="U25" t="s">
        <v>27</v>
      </c>
      <c r="V25" t="s">
        <v>13</v>
      </c>
      <c r="W25" t="s">
        <v>54</v>
      </c>
      <c r="X25" t="s">
        <v>75</v>
      </c>
    </row>
    <row r="26" spans="7:32" x14ac:dyDescent="0.25">
      <c r="O26" t="s">
        <v>5</v>
      </c>
      <c r="P26" s="5" t="s">
        <v>6</v>
      </c>
      <c r="Q26" s="6">
        <f>-V11</f>
        <v>-1.6</v>
      </c>
      <c r="R26" s="6">
        <f>C8</f>
        <v>1</v>
      </c>
      <c r="S26" s="6">
        <f>-V3</f>
        <v>-6.4198899999999997</v>
      </c>
      <c r="T26" s="6">
        <f>-V12</f>
        <v>-0.8</v>
      </c>
      <c r="U26" s="6"/>
      <c r="V26" s="6">
        <f>-P23*SIN(Q5*PI()/180)</f>
        <v>-2.02974686680921</v>
      </c>
      <c r="W26" s="9">
        <f>IF($C$5="metal",-$V$5,"")</f>
        <v>-1.568588995445404</v>
      </c>
      <c r="X26" s="10" t="str">
        <f>IF($C$5="3-D printed",-$V$6,"")</f>
        <v/>
      </c>
    </row>
    <row r="27" spans="7:32" ht="18" x14ac:dyDescent="0.35">
      <c r="O27" s="8" t="s">
        <v>28</v>
      </c>
      <c r="P27" s="7">
        <f>-SUM(Q26:X26)</f>
        <v>11.418225862254614</v>
      </c>
      <c r="V27" s="6"/>
    </row>
    <row r="29" spans="7:32" ht="18" x14ac:dyDescent="0.35">
      <c r="O29" t="s">
        <v>23</v>
      </c>
      <c r="P29" s="5" t="s">
        <v>6</v>
      </c>
      <c r="Q29" t="s">
        <v>73</v>
      </c>
      <c r="R29" t="s">
        <v>21</v>
      </c>
    </row>
    <row r="30" spans="7:32" x14ac:dyDescent="0.25">
      <c r="R30" s="6">
        <f>P23*COS(Q5*PI()/180)</f>
        <v>25.901351555208908</v>
      </c>
    </row>
    <row r="31" spans="7:32" ht="18" x14ac:dyDescent="0.35">
      <c r="O31" s="8" t="s">
        <v>69</v>
      </c>
      <c r="P31" s="7">
        <f>-R30</f>
        <v>-25.901351555208908</v>
      </c>
    </row>
  </sheetData>
  <sheetProtection sheet="1" objects="1" scenarios="1"/>
  <mergeCells count="9">
    <mergeCell ref="T12:U12"/>
    <mergeCell ref="T14:U18"/>
    <mergeCell ref="A5:B5"/>
    <mergeCell ref="T3:U3"/>
    <mergeCell ref="A8:B8"/>
    <mergeCell ref="T5:U5"/>
    <mergeCell ref="T6:U6"/>
    <mergeCell ref="T8:U8"/>
    <mergeCell ref="T11:U11"/>
  </mergeCells>
  <dataValidations count="5">
    <dataValidation type="list" allowBlank="1" showInputMessage="1" showErrorMessage="1" sqref="C5">
      <formula1>$AA$8:$AA$10</formula1>
    </dataValidation>
    <dataValidation type="list" allowBlank="1" showInputMessage="1" showErrorMessage="1" sqref="C3">
      <formula1>$Z$2:$Z$5</formula1>
    </dataValidation>
    <dataValidation type="list" allowBlank="1" showInputMessage="1" showErrorMessage="1" sqref="C2">
      <formula1>$Z$2:$Z$6</formula1>
    </dataValidation>
    <dataValidation type="whole" allowBlank="1" showInputMessage="1" showErrorMessage="1" sqref="C6:C7">
      <formula1>0</formula1>
      <formula2>100</formula2>
    </dataValidation>
    <dataValidation type="decimal" allowBlank="1" showInputMessage="1" showErrorMessage="1" sqref="C8">
      <formula1>0</formula1>
      <formula2>V3</formula2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5" r:id="rId4" name="Control 7">
              <controlPr defaultSize="0" print="0" uiObject="1" autoLine="0" autoPict="0">
                <anchor moveWithCells="1" sizeWithCells="1">
                  <from>
                    <xdr:col>1</xdr:col>
                    <xdr:colOff>0</xdr:colOff>
                    <xdr:row>10</xdr:row>
                    <xdr:rowOff>0</xdr:rowOff>
                  </from>
                  <to>
                    <xdr:col>2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5" name="Control 9">
              <controlPr defaultSize="0" print="0" uiObject="1" autoLine="0" autoPict="0">
                <anchor moveWithCells="1" siz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5">
    <tablePart r:id="rId6"/>
    <tablePart r:id="rId7"/>
    <tablePart r:id="rId8"/>
    <tablePart r:id="rId9"/>
    <tablePart r:id="rId10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F65B65718767345935611D951FEAD62" ma:contentTypeVersion="13" ma:contentTypeDescription="Create a new document." ma:contentTypeScope="" ma:versionID="10c903f1825dfef7536b2a3c67cc0a5c">
  <xsd:schema xmlns:xsd="http://www.w3.org/2001/XMLSchema" xmlns:xs="http://www.w3.org/2001/XMLSchema" xmlns:p="http://schemas.microsoft.com/office/2006/metadata/properties" xmlns:ns3="deedf785-67ee-43e7-b440-ea4f78a61ea1" xmlns:ns4="2ef53749-08c8-496b-a62e-f724fb08dbcd" targetNamespace="http://schemas.microsoft.com/office/2006/metadata/properties" ma:root="true" ma:fieldsID="d8e3da342ffb3f407b94ae54837f6b4a" ns3:_="" ns4:_="">
    <xsd:import namespace="deedf785-67ee-43e7-b440-ea4f78a61ea1"/>
    <xsd:import namespace="2ef53749-08c8-496b-a62e-f724fb08dbc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edf785-67ee-43e7-b440-ea4f78a61e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f53749-08c8-496b-a62e-f724fb08db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BF8CB80-A505-404F-947B-4EE872F537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503628-DD6D-4245-BFE2-41033A0BCD0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deedf785-67ee-43e7-b440-ea4f78a61ea1"/>
    <ds:schemaRef ds:uri="2ef53749-08c8-496b-a62e-f724fb08dbcd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021EA0B-1EEE-46F1-926E-EAE617B6F688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deedf785-67ee-43e7-b440-ea4f78a61ea1"/>
    <ds:schemaRef ds:uri="2ef53749-08c8-496b-a62e-f724fb08dbc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Forces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Rounsaville, Joseph</dc:creator>
  <cp:lastModifiedBy>Pekarchik, Karin</cp:lastModifiedBy>
  <dcterms:created xsi:type="dcterms:W3CDTF">2019-03-14T13:36:24Z</dcterms:created>
  <dcterms:modified xsi:type="dcterms:W3CDTF">2019-10-25T18:12:17Z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0x0101001F65B65718767345935611D951FEAD62</vt:lpwstr>
  </property>
</Properties>
</file>