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660" windowHeight="7080" activeTab="0"/>
  </bookViews>
  <sheets>
    <sheet name="Corn" sheetId="1" r:id="rId1"/>
    <sheet name="Soybean" sheetId="2" r:id="rId2"/>
    <sheet name="Wheat" sheetId="3" r:id="rId3"/>
  </sheets>
  <definedNames>
    <definedName name="_xlnm.Print_Area" localSheetId="1">'Soybean'!$B$1:$J$36</definedName>
    <definedName name="_xlnm.Print_Area" localSheetId="2">'Wheat'!$B$6:$N$28</definedName>
  </definedNames>
  <calcPr fullCalcOnLoad="1"/>
</workbook>
</file>

<file path=xl/sharedStrings.xml><?xml version="1.0" encoding="utf-8"?>
<sst xmlns="http://schemas.openxmlformats.org/spreadsheetml/2006/main" count="281" uniqueCount="97">
  <si>
    <t>No.</t>
  </si>
  <si>
    <t>Row</t>
  </si>
  <si>
    <t>gm /</t>
  </si>
  <si>
    <t>Variety</t>
  </si>
  <si>
    <t>Germ</t>
  </si>
  <si>
    <t>Purity</t>
  </si>
  <si>
    <t>200 ft</t>
  </si>
  <si>
    <t xml:space="preserve"> / lb</t>
  </si>
  <si>
    <t>%</t>
  </si>
  <si>
    <t>Seeds</t>
  </si>
  <si>
    <t>per ft</t>
  </si>
  <si>
    <t>scp'g in</t>
  </si>
  <si>
    <t>acres</t>
  </si>
  <si>
    <t>Total</t>
  </si>
  <si>
    <t>bags</t>
  </si>
  <si>
    <t>Cost</t>
  </si>
  <si>
    <t>per</t>
  </si>
  <si>
    <t>bag</t>
  </si>
  <si>
    <t>seed lot</t>
  </si>
  <si>
    <t>of row</t>
  </si>
  <si>
    <t>/ lot</t>
  </si>
  <si>
    <t>acre</t>
  </si>
  <si>
    <t>lbs</t>
  </si>
  <si>
    <t>seed</t>
  </si>
  <si>
    <t>/acre</t>
  </si>
  <si>
    <t>seeds</t>
  </si>
  <si>
    <t>/ sq ft</t>
  </si>
  <si>
    <t>/ sq yd</t>
  </si>
  <si>
    <t>Plants</t>
  </si>
  <si>
    <t>Desired stand</t>
  </si>
  <si>
    <t>50 lb</t>
  </si>
  <si>
    <t>plants/sq yd</t>
  </si>
  <si>
    <t>population</t>
  </si>
  <si>
    <t>Target</t>
  </si>
  <si>
    <t>seeds/ft^2</t>
  </si>
  <si>
    <t>1000/ac</t>
  </si>
  <si>
    <t>500 ac</t>
  </si>
  <si>
    <t>actual</t>
  </si>
  <si>
    <t>plants/sqft</t>
  </si>
  <si>
    <t>100 ac</t>
  </si>
  <si>
    <t>1000 ac</t>
  </si>
  <si>
    <t>Compare seed costs at a different plant population.</t>
  </si>
  <si>
    <t>Seed cost, $1000</t>
  </si>
  <si>
    <t>Crn02</t>
  </si>
  <si>
    <t>Crn01</t>
  </si>
  <si>
    <t>Crn03</t>
  </si>
  <si>
    <t>Crn04</t>
  </si>
  <si>
    <t xml:space="preserve"> / bag</t>
  </si>
  <si>
    <t>per bag</t>
  </si>
  <si>
    <t>lb</t>
  </si>
  <si>
    <t>1000 plants</t>
  </si>
  <si>
    <t>seeds/ft</t>
  </si>
  <si>
    <t>Wht01</t>
  </si>
  <si>
    <t>Wht02</t>
  </si>
  <si>
    <t>Wht03</t>
  </si>
  <si>
    <t>Wht04</t>
  </si>
  <si>
    <t xml:space="preserve">actual </t>
  </si>
  <si>
    <t>/ acre</t>
  </si>
  <si>
    <t xml:space="preserve"> / acre</t>
  </si>
  <si>
    <t>Created by Sam McNeill (Extension Agricultural Engineer) and Chad Lee (Extension Specialist in Grain Crops).</t>
  </si>
  <si>
    <t>germination and purity) and the cost per bag (80,000 kernels).  Enter the number of acres for each variety</t>
  </si>
  <si>
    <t>to calculate the total number of bags needed for each plant population and the total and average seed cost.</t>
  </si>
  <si>
    <t>This calculator compares corn seed costs for two different plant populations, based on tag/bag data (weight,</t>
  </si>
  <si>
    <t>Four varieties are shown but more may be added by inserting rows and copying formulas from the cells above.</t>
  </si>
  <si>
    <t>each variety to calculate the total number of bags needed for each population and the total and average seed cost.</t>
  </si>
  <si>
    <t>This calculator compares wheat seed costs for two different plant populations, based on seed tag/bag data</t>
  </si>
  <si>
    <t>(seeds per pound, germination and purity) and the seed cost per (50-lb) bag.  Enter the number of acres for</t>
  </si>
  <si>
    <t>A calculation is also made for planter/drill calibration at both seeding rates (weight of seed in a 200-ft strip).</t>
  </si>
  <si>
    <t>A calculation is also made for drill/planter calibration at both seeding rates (weight of seed in a 200-ft strip).</t>
  </si>
  <si>
    <t>SBxx1</t>
  </si>
  <si>
    <t>SBxx2</t>
  </si>
  <si>
    <t>SBxx3</t>
  </si>
  <si>
    <t>BR-abc</t>
  </si>
  <si>
    <t>BE-def</t>
  </si>
  <si>
    <t>BR-xyz</t>
  </si>
  <si>
    <t>BR-549</t>
  </si>
  <si>
    <t>Seed tag data.</t>
  </si>
  <si>
    <t>Lot No.</t>
  </si>
  <si>
    <t xml:space="preserve">Lot No. </t>
  </si>
  <si>
    <t xml:space="preserve"> per lb</t>
  </si>
  <si>
    <t>Compare seed rates and costs at two different plant populations.</t>
  </si>
  <si>
    <t>Seed tag data and cost per bag.</t>
  </si>
  <si>
    <t>This calculator compares soybean seed costs for two different plant populations, based on seed tag/</t>
  </si>
  <si>
    <t>bag data (seeds per pound, germination and purity) and the seed cost per (50-lb) bag.  Enter the number</t>
  </si>
  <si>
    <t xml:space="preserve">and average seed cost.  A calculation is also made for drill/planter calibration at both seeding rates </t>
  </si>
  <si>
    <t>of acres for each variety to calculate the total number of bags needed for each population and the total</t>
  </si>
  <si>
    <t xml:space="preserve">(weight of seed in a 200-ft strip).  Four varieties are shown but more may be added by inserting rows </t>
  </si>
  <si>
    <t>and copying formulas from the cells above.</t>
  </si>
  <si>
    <t>Created by Sam McNeill (Extension Agricultural Engineer) and Chad Lee (Extension Grain Crop Specialist).</t>
  </si>
  <si>
    <t>Weight</t>
  </si>
  <si>
    <t>Lot</t>
  </si>
  <si>
    <t>xxx1</t>
  </si>
  <si>
    <t>xxx2</t>
  </si>
  <si>
    <t>xxx3</t>
  </si>
  <si>
    <t>xxx4</t>
  </si>
  <si>
    <t>space in</t>
  </si>
  <si>
    <t>$ per 1000 plants/acre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</si>
</sst>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_);[Red]\(&quot;$&quot;#,##0.0\)"/>
    <numFmt numFmtId="168" formatCode="&quot;$&quot;#,##0.000_);[Red]\(&quot;$&quot;#,##0.000\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&quot;$&quot;#,##0.00"/>
    <numFmt numFmtId="176" formatCode="&quot;$&quot;#,##0.000"/>
    <numFmt numFmtId="177" formatCode="_(&quot;$&quot;* #,##0.000_);_(&quot;$&quot;* \(#,##0.000\);_(&quot;$&quot;* &quot;-&quot;???_);_(@_)"/>
    <numFmt numFmtId="178" formatCode="#,##0.000_);\(#,##0.000\)"/>
    <numFmt numFmtId="179" formatCode="#,##0.0_);\(#,##0.0\)"/>
    <numFmt numFmtId="180" formatCode="&quot;$&quot;#,##0.000_);\(&quot;$&quot;#,##0.000\)"/>
  </numFmts>
  <fonts count="15"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NumberFormat="1" applyFont="1" applyBorder="1" applyAlignment="1">
      <alignment horizontal="justify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/>
    </xf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1" fillId="0" borderId="5" xfId="0" applyNumberFormat="1" applyFont="1" applyBorder="1" applyAlignment="1">
      <alignment/>
    </xf>
    <xf numFmtId="44" fontId="1" fillId="0" borderId="6" xfId="0" applyNumberFormat="1" applyFont="1" applyBorder="1" applyAlignment="1">
      <alignment/>
    </xf>
    <xf numFmtId="44" fontId="0" fillId="0" borderId="12" xfId="17" applyBorder="1" applyAlignment="1">
      <alignment/>
    </xf>
    <xf numFmtId="172" fontId="1" fillId="0" borderId="0" xfId="17" applyNumberFormat="1" applyFont="1" applyBorder="1" applyAlignment="1">
      <alignment/>
    </xf>
    <xf numFmtId="172" fontId="1" fillId="0" borderId="1" xfId="17" applyNumberFormat="1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7" fontId="3" fillId="0" borderId="1" xfId="17" applyNumberFormat="1" applyFont="1" applyBorder="1" applyAlignment="1" applyProtection="1">
      <alignment/>
      <protection locked="0"/>
    </xf>
    <xf numFmtId="7" fontId="3" fillId="0" borderId="0" xfId="17" applyNumberFormat="1" applyFont="1" applyAlignment="1" applyProtection="1">
      <alignment/>
      <protection locked="0"/>
    </xf>
    <xf numFmtId="164" fontId="1" fillId="0" borderId="15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1" fontId="1" fillId="0" borderId="5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1" fontId="1" fillId="0" borderId="6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5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7" fontId="1" fillId="0" borderId="0" xfId="17" applyNumberFormat="1" applyFont="1" applyAlignment="1" applyProtection="1">
      <alignment/>
      <protection locked="0"/>
    </xf>
    <xf numFmtId="7" fontId="1" fillId="0" borderId="1" xfId="17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4" fontId="0" fillId="0" borderId="0" xfId="17" applyBorder="1" applyAlignment="1">
      <alignment/>
    </xf>
    <xf numFmtId="0" fontId="1" fillId="0" borderId="1" xfId="0" applyNumberFormat="1" applyFont="1" applyBorder="1" applyAlignment="1" quotePrefix="1">
      <alignment horizontal="center"/>
    </xf>
    <xf numFmtId="1" fontId="1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15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8" xfId="0" applyNumberFormat="1" applyFont="1" applyBorder="1" applyAlignment="1">
      <alignment horizontal="justify"/>
    </xf>
    <xf numFmtId="0" fontId="1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right"/>
    </xf>
    <xf numFmtId="164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4" fontId="1" fillId="0" borderId="22" xfId="0" applyNumberFormat="1" applyFont="1" applyBorder="1" applyAlignment="1">
      <alignment/>
    </xf>
    <xf numFmtId="44" fontId="1" fillId="0" borderId="2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justify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7" fontId="3" fillId="0" borderId="9" xfId="17" applyNumberFormat="1" applyFont="1" applyBorder="1" applyAlignment="1" applyProtection="1">
      <alignment/>
      <protection locked="0"/>
    </xf>
    <xf numFmtId="7" fontId="3" fillId="0" borderId="13" xfId="17" applyNumberFormat="1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5" xfId="0" applyNumberFormat="1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 locked="0"/>
    </xf>
    <xf numFmtId="3" fontId="3" fillId="0" borderId="26" xfId="0" applyNumberFormat="1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/>
    </xf>
    <xf numFmtId="1" fontId="1" fillId="0" borderId="6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164" fontId="1" fillId="0" borderId="41" xfId="0" applyNumberFormat="1" applyFont="1" applyBorder="1" applyAlignment="1">
      <alignment horizontal="center"/>
    </xf>
    <xf numFmtId="1" fontId="1" fillId="0" borderId="25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0" fillId="0" borderId="17" xfId="0" applyBorder="1" applyAlignment="1">
      <alignment/>
    </xf>
    <xf numFmtId="1" fontId="1" fillId="0" borderId="18" xfId="0" applyNumberFormat="1" applyFont="1" applyBorder="1" applyAlignment="1" applyProtection="1">
      <alignment horizontal="center"/>
      <protection locked="0"/>
    </xf>
    <xf numFmtId="164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7" fontId="3" fillId="0" borderId="0" xfId="17" applyNumberFormat="1" applyFont="1" applyBorder="1" applyAlignment="1" applyProtection="1">
      <alignment/>
      <protection locked="0"/>
    </xf>
    <xf numFmtId="37" fontId="1" fillId="0" borderId="43" xfId="17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7" fontId="3" fillId="0" borderId="17" xfId="17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 Seed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Corn!$F$42</c:f>
              <c:strCache>
                <c:ptCount val="1"/>
                <c:pt idx="0">
                  <c:v>1000 ac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Corn!$F$43:$F$49</c:f>
              <c:numCache/>
            </c:numRef>
          </c:yVal>
          <c:smooth val="1"/>
        </c:ser>
        <c:ser>
          <c:idx val="1"/>
          <c:order val="1"/>
          <c:tx>
            <c:strRef>
              <c:f>Corn!$E$42</c:f>
              <c:strCache>
                <c:ptCount val="1"/>
                <c:pt idx="0">
                  <c:v>500 ac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Corn!$E$43:$E$49</c:f>
              <c:numCache/>
            </c:numRef>
          </c:yVal>
          <c:smooth val="1"/>
        </c:ser>
        <c:ser>
          <c:idx val="0"/>
          <c:order val="2"/>
          <c:tx>
            <c:strRef>
              <c:f>Corn!$D$42</c:f>
              <c:strCache>
                <c:ptCount val="1"/>
                <c:pt idx="0">
                  <c:v>100 ac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Corn!$D$43:$D$49</c:f>
              <c:numCache/>
            </c:numRef>
          </c:yVal>
          <c:smooth val="1"/>
        </c:ser>
        <c:axId val="46849719"/>
        <c:axId val="18994288"/>
      </c:scatterChart>
      <c:valAx>
        <c:axId val="46849719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Desired Population, 1000 plants / 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994288"/>
        <c:crosses val="autoZero"/>
        <c:crossBetween val="midCat"/>
        <c:dispUnits/>
        <c:minorUnit val="2.5"/>
      </c:valAx>
      <c:valAx>
        <c:axId val="1899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497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Soybean Seed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Soybean!$F$42</c:f>
              <c:strCache>
                <c:ptCount val="1"/>
                <c:pt idx="0">
                  <c:v>1000 ac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Soybean!$F$43:$F$49</c:f>
              <c:numCache>
                <c:ptCount val="7"/>
                <c:pt idx="0">
                  <c:v>11.581</c:v>
                </c:pt>
                <c:pt idx="1">
                  <c:v>17.372</c:v>
                </c:pt>
                <c:pt idx="2">
                  <c:v>23.163</c:v>
                </c:pt>
                <c:pt idx="3">
                  <c:v>28.953</c:v>
                </c:pt>
                <c:pt idx="4">
                  <c:v>34.744</c:v>
                </c:pt>
                <c:pt idx="5">
                  <c:v>40.535</c:v>
                </c:pt>
                <c:pt idx="6">
                  <c:v>46.325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Soybean!$E$42</c:f>
              <c:strCache>
                <c:ptCount val="1"/>
                <c:pt idx="0">
                  <c:v>500 ac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Soybean!$E$43:$E$49</c:f>
              <c:numCache>
                <c:ptCount val="7"/>
                <c:pt idx="0">
                  <c:v>5.791</c:v>
                </c:pt>
                <c:pt idx="1">
                  <c:v>8.686</c:v>
                </c:pt>
                <c:pt idx="2">
                  <c:v>11.581</c:v>
                </c:pt>
                <c:pt idx="3">
                  <c:v>14.477</c:v>
                </c:pt>
                <c:pt idx="4">
                  <c:v>17.372</c:v>
                </c:pt>
                <c:pt idx="5">
                  <c:v>20.267</c:v>
                </c:pt>
                <c:pt idx="6">
                  <c:v>23.163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Soybean!$D$42</c:f>
              <c:strCache>
                <c:ptCount val="1"/>
                <c:pt idx="0">
                  <c:v>100 ac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Soybean!$D$43:$D$49</c:f>
              <c:numCache>
                <c:ptCount val="7"/>
                <c:pt idx="0">
                  <c:v>1.158</c:v>
                </c:pt>
                <c:pt idx="1">
                  <c:v>1.737</c:v>
                </c:pt>
                <c:pt idx="2">
                  <c:v>2.316</c:v>
                </c:pt>
                <c:pt idx="3">
                  <c:v>2.895</c:v>
                </c:pt>
                <c:pt idx="4">
                  <c:v>3.474</c:v>
                </c:pt>
                <c:pt idx="5">
                  <c:v>4.053</c:v>
                </c:pt>
                <c:pt idx="6">
                  <c:v>4.633</c:v>
                </c:pt>
              </c:numCache>
            </c:numRef>
          </c:yVal>
          <c:smooth val="1"/>
        </c:ser>
        <c:axId val="36730865"/>
        <c:axId val="62142330"/>
      </c:scatterChart>
      <c:valAx>
        <c:axId val="3673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Desired Stand, 1000 plants / 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142330"/>
        <c:crosses val="autoZero"/>
        <c:crossBetween val="midCat"/>
        <c:dispUnits/>
        <c:minorUnit val="25"/>
      </c:valAx>
      <c:valAx>
        <c:axId val="62142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730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Wheat Seet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Wheat!$F$33</c:f>
              <c:strCache>
                <c:ptCount val="1"/>
                <c:pt idx="0">
                  <c:v>1000 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Wheat!$C$34:$C$44</c:f>
              <c:numCache/>
            </c:numRef>
          </c:xVal>
          <c:yVal>
            <c:numRef>
              <c:f>Wheat!$F$34:$F$44</c:f>
              <c:numCache/>
            </c:numRef>
          </c:yVal>
          <c:smooth val="1"/>
        </c:ser>
        <c:ser>
          <c:idx val="1"/>
          <c:order val="1"/>
          <c:tx>
            <c:strRef>
              <c:f>Wheat!$E$33</c:f>
              <c:strCache>
                <c:ptCount val="1"/>
                <c:pt idx="0">
                  <c:v>500 ac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Wheat!$C$34:$C$44</c:f>
              <c:numCache/>
            </c:numRef>
          </c:xVal>
          <c:yVal>
            <c:numRef>
              <c:f>Wheat!$E$34:$E$44</c:f>
              <c:numCache/>
            </c:numRef>
          </c:yVal>
          <c:smooth val="1"/>
        </c:ser>
        <c:ser>
          <c:idx val="0"/>
          <c:order val="2"/>
          <c:tx>
            <c:strRef>
              <c:f>Wheat!$D$33</c:f>
              <c:strCache>
                <c:ptCount val="1"/>
                <c:pt idx="0">
                  <c:v>100 ac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Wheat!$C$34:$C$44</c:f>
              <c:numCache/>
            </c:numRef>
          </c:xVal>
          <c:yVal>
            <c:numRef>
              <c:f>Wheat!$D$34:$D$44</c:f>
              <c:numCache/>
            </c:numRef>
          </c:yVal>
          <c:smooth val="1"/>
        </c:ser>
        <c:axId val="22410059"/>
        <c:axId val="363940"/>
      </c:scatterChart>
      <c:valAx>
        <c:axId val="22410059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Desired Stand, plants/square yard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3940"/>
        <c:crosses val="autoZero"/>
        <c:crossBetween val="midCat"/>
        <c:dispUnits/>
        <c:minorUnit val="50"/>
      </c:valAx>
      <c:valAx>
        <c:axId val="36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10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36</xdr:row>
      <xdr:rowOff>161925</xdr:rowOff>
    </xdr:from>
    <xdr:to>
      <xdr:col>14</xdr:col>
      <xdr:colOff>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3552825" y="6905625"/>
        <a:ext cx="4953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22</xdr:row>
      <xdr:rowOff>47625</xdr:rowOff>
    </xdr:from>
    <xdr:to>
      <xdr:col>1</xdr:col>
      <xdr:colOff>628650</xdr:colOff>
      <xdr:row>23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285750" y="4210050"/>
          <a:ext cx="542925" cy="276225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38</xdr:row>
      <xdr:rowOff>9525</xdr:rowOff>
    </xdr:from>
    <xdr:to>
      <xdr:col>13</xdr:col>
      <xdr:colOff>666750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4191000" y="7115175"/>
        <a:ext cx="55721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pSp>
      <xdr:nvGrpSpPr>
        <xdr:cNvPr id="2" name="Group 5"/>
        <xdr:cNvGrpSpPr>
          <a:grpSpLocks/>
        </xdr:cNvGrpSpPr>
      </xdr:nvGrpSpPr>
      <xdr:grpSpPr>
        <a:xfrm>
          <a:off x="200025" y="6943725"/>
          <a:ext cx="0" cy="0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6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7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23</xdr:row>
      <xdr:rowOff>47625</xdr:rowOff>
    </xdr:from>
    <xdr:to>
      <xdr:col>1</xdr:col>
      <xdr:colOff>657225</xdr:colOff>
      <xdr:row>24</xdr:row>
      <xdr:rowOff>142875</xdr:rowOff>
    </xdr:to>
    <xdr:grpSp>
      <xdr:nvGrpSpPr>
        <xdr:cNvPr id="5" name="Group 11"/>
        <xdr:cNvGrpSpPr>
          <a:grpSpLocks/>
        </xdr:cNvGrpSpPr>
      </xdr:nvGrpSpPr>
      <xdr:grpSpPr>
        <a:xfrm>
          <a:off x="314325" y="4391025"/>
          <a:ext cx="542925" cy="276225"/>
          <a:chOff x="118" y="4018"/>
          <a:chExt cx="567" cy="264"/>
        </a:xfrm>
        <a:solidFill>
          <a:srgbClr val="FFFFFF"/>
        </a:solidFill>
      </xdr:grpSpPr>
      <xdr:sp>
        <xdr:nvSpPr>
          <xdr:cNvPr id="6" name="AutoShape 12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3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29</xdr:row>
      <xdr:rowOff>152400</xdr:rowOff>
    </xdr:from>
    <xdr:to>
      <xdr:col>14</xdr:col>
      <xdr:colOff>0</xdr:colOff>
      <xdr:row>49</xdr:row>
      <xdr:rowOff>0</xdr:rowOff>
    </xdr:to>
    <xdr:graphicFrame>
      <xdr:nvGraphicFramePr>
        <xdr:cNvPr id="1" name="Chart 3"/>
        <xdr:cNvGraphicFramePr/>
      </xdr:nvGraphicFramePr>
      <xdr:xfrm>
        <a:off x="3400425" y="5619750"/>
        <a:ext cx="4733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24</xdr:row>
      <xdr:rowOff>47625</xdr:rowOff>
    </xdr:from>
    <xdr:to>
      <xdr:col>1</xdr:col>
      <xdr:colOff>619125</xdr:colOff>
      <xdr:row>25</xdr:row>
      <xdr:rowOff>142875</xdr:rowOff>
    </xdr:to>
    <xdr:grpSp>
      <xdr:nvGrpSpPr>
        <xdr:cNvPr id="2" name="Group 10"/>
        <xdr:cNvGrpSpPr>
          <a:grpSpLocks/>
        </xdr:cNvGrpSpPr>
      </xdr:nvGrpSpPr>
      <xdr:grpSpPr>
        <a:xfrm>
          <a:off x="314325" y="4581525"/>
          <a:ext cx="504825" cy="285750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11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2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7109375" style="0" customWidth="1"/>
    <col min="3" max="3" width="10.421875" style="0" customWidth="1"/>
    <col min="4" max="4" width="9.28125" style="0" customWidth="1"/>
    <col min="8" max="8" width="10.140625" style="0" customWidth="1"/>
    <col min="9" max="9" width="10.28125" style="0" customWidth="1"/>
    <col min="10" max="10" width="8.00390625" style="0" customWidth="1"/>
    <col min="11" max="11" width="10.8515625" style="0" customWidth="1"/>
  </cols>
  <sheetData>
    <row r="1" ht="15">
      <c r="B1" s="29" t="s">
        <v>62</v>
      </c>
    </row>
    <row r="2" ht="15">
      <c r="B2" s="29" t="s">
        <v>60</v>
      </c>
    </row>
    <row r="3" ht="15">
      <c r="B3" s="29" t="s">
        <v>61</v>
      </c>
    </row>
    <row r="4" ht="15">
      <c r="B4" s="29" t="s">
        <v>67</v>
      </c>
    </row>
    <row r="5" ht="15">
      <c r="B5" s="29" t="s">
        <v>63</v>
      </c>
    </row>
    <row r="6" ht="15">
      <c r="B6" s="99" t="s">
        <v>59</v>
      </c>
    </row>
    <row r="8" spans="2:9" ht="15.75" thickBot="1">
      <c r="B8" s="99" t="s">
        <v>76</v>
      </c>
      <c r="I8" s="86"/>
    </row>
    <row r="9" spans="2:9" ht="14.25">
      <c r="B9" s="5"/>
      <c r="C9" s="97"/>
      <c r="D9" s="97" t="s">
        <v>0</v>
      </c>
      <c r="E9" s="97" t="s">
        <v>89</v>
      </c>
      <c r="F9" s="100"/>
      <c r="G9" s="115"/>
      <c r="H9" s="202" t="s">
        <v>15</v>
      </c>
      <c r="I9" s="118"/>
    </row>
    <row r="10" spans="2:9" ht="14.25">
      <c r="B10" s="10" t="s">
        <v>3</v>
      </c>
      <c r="C10" s="157" t="s">
        <v>90</v>
      </c>
      <c r="D10" s="6" t="s">
        <v>9</v>
      </c>
      <c r="E10" s="6" t="s">
        <v>48</v>
      </c>
      <c r="F10" s="6" t="s">
        <v>4</v>
      </c>
      <c r="G10" s="11" t="s">
        <v>5</v>
      </c>
      <c r="H10" s="203" t="s">
        <v>16</v>
      </c>
      <c r="I10" s="167" t="s">
        <v>0</v>
      </c>
    </row>
    <row r="11" spans="2:9" ht="15" thickBot="1">
      <c r="B11" s="30"/>
      <c r="C11" s="158" t="s">
        <v>0</v>
      </c>
      <c r="D11" s="13" t="s">
        <v>47</v>
      </c>
      <c r="E11" s="13" t="s">
        <v>49</v>
      </c>
      <c r="F11" s="13" t="s">
        <v>8</v>
      </c>
      <c r="G11" s="150" t="s">
        <v>8</v>
      </c>
      <c r="H11" s="203" t="s">
        <v>17</v>
      </c>
      <c r="I11" s="168" t="s">
        <v>12</v>
      </c>
    </row>
    <row r="12" spans="2:9" ht="15">
      <c r="B12" s="58" t="s">
        <v>44</v>
      </c>
      <c r="C12" s="107" t="s">
        <v>91</v>
      </c>
      <c r="D12" s="95">
        <v>80000</v>
      </c>
      <c r="E12" s="83">
        <v>39.8</v>
      </c>
      <c r="F12" s="42">
        <v>95</v>
      </c>
      <c r="G12" s="116">
        <v>99</v>
      </c>
      <c r="H12" s="204">
        <v>125</v>
      </c>
      <c r="I12" s="169">
        <v>250</v>
      </c>
    </row>
    <row r="13" spans="2:9" ht="15">
      <c r="B13" s="58" t="s">
        <v>43</v>
      </c>
      <c r="C13" s="107" t="s">
        <v>92</v>
      </c>
      <c r="D13" s="95">
        <v>80000</v>
      </c>
      <c r="E13" s="83">
        <v>41.23</v>
      </c>
      <c r="F13" s="42">
        <v>85</v>
      </c>
      <c r="G13" s="116">
        <v>99</v>
      </c>
      <c r="H13" s="164">
        <v>150</v>
      </c>
      <c r="I13" s="169">
        <v>250</v>
      </c>
    </row>
    <row r="14" spans="2:9" ht="15">
      <c r="B14" s="58" t="s">
        <v>45</v>
      </c>
      <c r="C14" s="107" t="s">
        <v>93</v>
      </c>
      <c r="D14" s="95">
        <v>80000</v>
      </c>
      <c r="E14" s="83">
        <v>44.08</v>
      </c>
      <c r="F14" s="42">
        <v>92</v>
      </c>
      <c r="G14" s="116">
        <v>99</v>
      </c>
      <c r="H14" s="164">
        <v>150</v>
      </c>
      <c r="I14" s="169">
        <v>250</v>
      </c>
    </row>
    <row r="15" spans="2:9" ht="15.75" thickBot="1">
      <c r="B15" s="59" t="s">
        <v>46</v>
      </c>
      <c r="C15" s="108" t="s">
        <v>94</v>
      </c>
      <c r="D15" s="96">
        <v>80000</v>
      </c>
      <c r="E15" s="84">
        <v>49.3</v>
      </c>
      <c r="F15" s="44">
        <v>95</v>
      </c>
      <c r="G15" s="117">
        <v>98</v>
      </c>
      <c r="H15" s="165">
        <v>180</v>
      </c>
      <c r="I15" s="170">
        <v>250</v>
      </c>
    </row>
    <row r="16" spans="2:9" ht="15.75" thickBot="1">
      <c r="B16" s="51"/>
      <c r="C16" s="198"/>
      <c r="D16" s="95"/>
      <c r="E16" s="83"/>
      <c r="F16" s="42"/>
      <c r="G16" s="65"/>
      <c r="H16" s="201" t="s">
        <v>13</v>
      </c>
      <c r="I16" s="200">
        <f>SUM(I12:I15)</f>
        <v>1000</v>
      </c>
    </row>
    <row r="17" spans="2:9" ht="15.75">
      <c r="B17" s="28" t="s">
        <v>41</v>
      </c>
      <c r="C17" s="198"/>
      <c r="D17" s="95"/>
      <c r="E17" s="83"/>
      <c r="F17" s="42"/>
      <c r="G17" s="65"/>
      <c r="H17" s="113"/>
      <c r="I17" s="199"/>
    </row>
    <row r="18" spans="5:10" ht="15" thickBot="1">
      <c r="E18" s="4"/>
      <c r="F18" s="4"/>
      <c r="G18" s="4"/>
      <c r="H18" s="4"/>
      <c r="I18" s="1"/>
      <c r="J18" s="1"/>
    </row>
    <row r="19" spans="2:12" ht="14.25">
      <c r="B19" s="140" t="s">
        <v>29</v>
      </c>
      <c r="C19" s="141"/>
      <c r="D19" s="74" t="s">
        <v>1</v>
      </c>
      <c r="E19" s="22" t="s">
        <v>28</v>
      </c>
      <c r="F19" s="27"/>
      <c r="G19" s="9" t="s">
        <v>2</v>
      </c>
      <c r="H19" s="6" t="s">
        <v>22</v>
      </c>
      <c r="I19" s="9" t="s">
        <v>37</v>
      </c>
      <c r="J19" s="26"/>
      <c r="K19" s="142"/>
      <c r="L19" s="197"/>
    </row>
    <row r="20" spans="2:12" ht="14.25">
      <c r="B20" s="19" t="s">
        <v>35</v>
      </c>
      <c r="C20" s="23" t="s">
        <v>38</v>
      </c>
      <c r="D20" s="19" t="s">
        <v>95</v>
      </c>
      <c r="E20" s="23" t="s">
        <v>10</v>
      </c>
      <c r="F20" s="11" t="s">
        <v>90</v>
      </c>
      <c r="G20" s="11" t="s">
        <v>6</v>
      </c>
      <c r="H20" s="6" t="s">
        <v>23</v>
      </c>
      <c r="I20" s="11" t="s">
        <v>25</v>
      </c>
      <c r="J20" s="27" t="s">
        <v>0</v>
      </c>
      <c r="K20" s="24" t="s">
        <v>16</v>
      </c>
      <c r="L20" s="121" t="s">
        <v>16</v>
      </c>
    </row>
    <row r="21" spans="2:12" ht="15.75" thickBot="1">
      <c r="B21" s="57">
        <v>26</v>
      </c>
      <c r="C21" s="40">
        <f>B21*1000/43560</f>
        <v>0.5968778696051423</v>
      </c>
      <c r="D21" s="41">
        <v>30</v>
      </c>
      <c r="E21" s="48">
        <f>C21/12*D21</f>
        <v>1.4921946740128558</v>
      </c>
      <c r="F21" s="156" t="s">
        <v>0</v>
      </c>
      <c r="G21" s="14" t="s">
        <v>19</v>
      </c>
      <c r="H21" s="13" t="s">
        <v>57</v>
      </c>
      <c r="I21" s="150" t="s">
        <v>57</v>
      </c>
      <c r="J21" s="14" t="s">
        <v>14</v>
      </c>
      <c r="K21" s="25" t="s">
        <v>18</v>
      </c>
      <c r="L21" s="120" t="s">
        <v>21</v>
      </c>
    </row>
    <row r="22" spans="6:12" ht="14.25">
      <c r="F22" s="134" t="str">
        <f>C12</f>
        <v>xxx1</v>
      </c>
      <c r="G22" s="135">
        <f>((H22/43560*($D$21/12))*453.6*200)</f>
        <v>71.60820910277195</v>
      </c>
      <c r="H22" s="151">
        <f>(B$21*1000/D12)/((F12/100)*(G12/100))*E12</f>
        <v>13.75332270069112</v>
      </c>
      <c r="I22" s="152">
        <f>D12/E12*H22</f>
        <v>27644.869750132908</v>
      </c>
      <c r="J22" s="138">
        <f>I$12*I22/D$12</f>
        <v>86.39021796916533</v>
      </c>
      <c r="K22" s="38">
        <f>J22*H$12</f>
        <v>10798.777246145666</v>
      </c>
      <c r="L22" s="122">
        <f>K22/I$12</f>
        <v>43.19510898458267</v>
      </c>
    </row>
    <row r="23" spans="2:12" ht="14.25">
      <c r="B23" s="143"/>
      <c r="F23" s="132" t="str">
        <f>C13</f>
        <v>xxx2</v>
      </c>
      <c r="G23" s="136">
        <f>((H23/43560*($D$21/12))*453.6*200)</f>
        <v>82.90825120431343</v>
      </c>
      <c r="H23" s="31">
        <f>(B$21*1000/D13)/((F13/100)*(G13/100))*E13</f>
        <v>15.923648247177658</v>
      </c>
      <c r="I23" s="152">
        <f>D13/E13*H23</f>
        <v>30897.207367795603</v>
      </c>
      <c r="J23" s="138">
        <f>I$13*I23/D$13</f>
        <v>96.55377302436125</v>
      </c>
      <c r="K23" s="38">
        <f>J23*H$13</f>
        <v>14483.065953654188</v>
      </c>
      <c r="L23" s="122">
        <f>K23/I$13</f>
        <v>57.93226381461675</v>
      </c>
    </row>
    <row r="24" spans="2:12" ht="14.25">
      <c r="B24" s="144"/>
      <c r="F24" s="132" t="str">
        <f>C14</f>
        <v>xxx3</v>
      </c>
      <c r="G24" s="136">
        <f>((H24/43560*($D$21/12))*453.6*200)</f>
        <v>81.8949465913174</v>
      </c>
      <c r="H24" s="31">
        <f>(B$21*1000/D14)/((F14/100)*(G14/100))*E14</f>
        <v>15.729029424681597</v>
      </c>
      <c r="I24" s="152">
        <f>D14/E14*H24</f>
        <v>28546.33289415898</v>
      </c>
      <c r="J24" s="138">
        <f>I$14*I24/D$14</f>
        <v>89.2072902942468</v>
      </c>
      <c r="K24" s="38">
        <f>J24*H$14</f>
        <v>13381.09354413702</v>
      </c>
      <c r="L24" s="122">
        <f>K24/I$14</f>
        <v>53.52437417654808</v>
      </c>
    </row>
    <row r="25" spans="6:12" ht="15" thickBot="1">
      <c r="F25" s="174" t="str">
        <f>C15</f>
        <v>xxx4</v>
      </c>
      <c r="G25" s="137">
        <f>((H25/43560*($D$21/12))*453.6*200)</f>
        <v>89.60572919903063</v>
      </c>
      <c r="H25" s="32">
        <f>(B$21*1000/D15)/((F15/100)*(G15/100))*E15</f>
        <v>17.20998925886144</v>
      </c>
      <c r="I25" s="153">
        <f>D15/E15*H25</f>
        <v>27926.96025778733</v>
      </c>
      <c r="J25" s="139">
        <f>I$15*I25/D$15</f>
        <v>87.27175080558541</v>
      </c>
      <c r="K25" s="39">
        <f>J25*H$15</f>
        <v>15708.915145005374</v>
      </c>
      <c r="L25" s="123">
        <f>K25/I$15</f>
        <v>62.8356605800215</v>
      </c>
    </row>
    <row r="26" spans="2:15" ht="15" thickBot="1">
      <c r="B26" s="16"/>
      <c r="C26" s="12"/>
      <c r="D26" s="17"/>
      <c r="E26" s="18"/>
      <c r="F26" s="18"/>
      <c r="G26" s="12"/>
      <c r="H26" s="12"/>
      <c r="I26" s="133" t="s">
        <v>13</v>
      </c>
      <c r="J26" s="21">
        <f>SUM(J22:J25)</f>
        <v>359.42303209335876</v>
      </c>
      <c r="K26" s="39">
        <f>SUM(K22:K25)</f>
        <v>54371.851888942256</v>
      </c>
      <c r="L26" s="123">
        <f>K26/(SUM(I$12:I$15))</f>
        <v>54.37185188894225</v>
      </c>
      <c r="N26" s="154"/>
      <c r="O26" s="155"/>
    </row>
    <row r="27" spans="3:12" ht="14.25">
      <c r="C27" s="72"/>
      <c r="D27" s="72"/>
      <c r="E27" s="20"/>
      <c r="F27" s="20"/>
      <c r="G27" s="2"/>
      <c r="H27" s="2"/>
      <c r="I27" s="66"/>
      <c r="J27" s="66"/>
      <c r="K27" s="34"/>
      <c r="L27" s="33"/>
    </row>
    <row r="28" spans="10:12" ht="13.5" customHeight="1" thickBot="1">
      <c r="J28" s="1"/>
      <c r="K28" s="1"/>
      <c r="L28" s="1"/>
    </row>
    <row r="29" spans="2:12" ht="14.25">
      <c r="B29" s="140" t="s">
        <v>29</v>
      </c>
      <c r="C29" s="141"/>
      <c r="D29" s="73" t="s">
        <v>1</v>
      </c>
      <c r="E29" s="74" t="s">
        <v>28</v>
      </c>
      <c r="F29" s="26"/>
      <c r="G29" s="9" t="s">
        <v>2</v>
      </c>
      <c r="H29" s="69" t="s">
        <v>22</v>
      </c>
      <c r="I29" s="9" t="s">
        <v>37</v>
      </c>
      <c r="J29" s="26"/>
      <c r="K29" s="142"/>
      <c r="L29" s="197"/>
    </row>
    <row r="30" spans="2:12" ht="14.25">
      <c r="B30" s="19" t="s">
        <v>35</v>
      </c>
      <c r="C30" s="23" t="s">
        <v>38</v>
      </c>
      <c r="D30" s="19" t="s">
        <v>95</v>
      </c>
      <c r="E30" s="23" t="s">
        <v>10</v>
      </c>
      <c r="F30" s="11" t="s">
        <v>90</v>
      </c>
      <c r="G30" s="11" t="s">
        <v>6</v>
      </c>
      <c r="H30" s="10" t="s">
        <v>23</v>
      </c>
      <c r="I30" s="11" t="s">
        <v>25</v>
      </c>
      <c r="J30" s="27" t="s">
        <v>0</v>
      </c>
      <c r="K30" s="24" t="s">
        <v>16</v>
      </c>
      <c r="L30" s="121" t="s">
        <v>16</v>
      </c>
    </row>
    <row r="31" spans="2:12" ht="15.75" thickBot="1">
      <c r="B31" s="57">
        <v>30</v>
      </c>
      <c r="C31" s="48">
        <f>B31*1000/43560</f>
        <v>0.6887052341597796</v>
      </c>
      <c r="D31" s="75">
        <f>D21</f>
        <v>30</v>
      </c>
      <c r="E31" s="48">
        <f>C31/12*D31</f>
        <v>1.721763085399449</v>
      </c>
      <c r="F31" s="156" t="s">
        <v>0</v>
      </c>
      <c r="G31" s="14" t="s">
        <v>19</v>
      </c>
      <c r="H31" s="30" t="s">
        <v>24</v>
      </c>
      <c r="I31" s="150" t="s">
        <v>24</v>
      </c>
      <c r="J31" s="14" t="s">
        <v>14</v>
      </c>
      <c r="K31" s="25" t="s">
        <v>18</v>
      </c>
      <c r="L31" s="120" t="s">
        <v>21</v>
      </c>
    </row>
    <row r="32" spans="6:12" ht="14.25">
      <c r="F32" s="134" t="str">
        <f>C12</f>
        <v>xxx1</v>
      </c>
      <c r="G32" s="135">
        <f>((H32/43560*($D$21/12))*453.6*200)</f>
        <v>82.62485665704457</v>
      </c>
      <c r="H32" s="31">
        <f>(B$31*1000/D12)/((F12/100)*(G12/100))*E12</f>
        <v>15.869218500797448</v>
      </c>
      <c r="I32" s="152">
        <f>B$31*1000/(F12/100*G12/100)</f>
        <v>31897.92663476874</v>
      </c>
      <c r="J32" s="138">
        <f>I$12*I32/D$12</f>
        <v>99.6810207336523</v>
      </c>
      <c r="K32" s="38">
        <f>J32*H$12</f>
        <v>12460.127591706538</v>
      </c>
      <c r="L32" s="122">
        <f>K32/I$12</f>
        <v>49.84051036682615</v>
      </c>
    </row>
    <row r="33" spans="6:12" ht="14.25">
      <c r="F33" s="132" t="str">
        <f>C13</f>
        <v>xxx2</v>
      </c>
      <c r="G33" s="136">
        <f>((H33/43560*($D$21/12))*453.6*200)</f>
        <v>95.66336677420779</v>
      </c>
      <c r="H33" s="31">
        <f>(B$31*1000/D13)/((F13/100)*(G13/100))*E13</f>
        <v>18.37344028520499</v>
      </c>
      <c r="I33" s="152">
        <f>B$31*1000/(F13/100*G13/100)</f>
        <v>35650.62388591801</v>
      </c>
      <c r="J33" s="138">
        <f>I$13*I33/D$13</f>
        <v>111.40819964349377</v>
      </c>
      <c r="K33" s="38">
        <f>J33*H$13</f>
        <v>16711.229946524065</v>
      </c>
      <c r="L33" s="122">
        <f>K33/I$13</f>
        <v>66.84491978609626</v>
      </c>
    </row>
    <row r="34" spans="6:12" ht="14.25">
      <c r="F34" s="132" t="str">
        <f>C14</f>
        <v>xxx3</v>
      </c>
      <c r="G34" s="136">
        <f>((H34/43560*($D$21/12))*453.6*200)</f>
        <v>94.49416914382778</v>
      </c>
      <c r="H34" s="31">
        <f>(B$31*1000/D14)/((F14/100)*(G14/100))*E14</f>
        <v>18.148880105401844</v>
      </c>
      <c r="I34" s="152">
        <f>B$31*1000/(F14/100*G14/100)</f>
        <v>32938.07641633729</v>
      </c>
      <c r="J34" s="138">
        <f>I$14*I34/D$14</f>
        <v>102.93148880105403</v>
      </c>
      <c r="K34" s="38">
        <f>J34*H$14</f>
        <v>15439.723320158104</v>
      </c>
      <c r="L34" s="122">
        <f>K34/I$14</f>
        <v>61.758893280632414</v>
      </c>
    </row>
    <row r="35" spans="6:12" ht="15" thickBot="1">
      <c r="F35" s="174" t="str">
        <f>C15</f>
        <v>xxx4</v>
      </c>
      <c r="G35" s="137">
        <f>((H35/43560*($D$21/12))*453.6*200)</f>
        <v>103.39122599888151</v>
      </c>
      <c r="H35" s="32">
        <f>(B$31*1000/D15)/((F15/100)*(G15/100))*E15</f>
        <v>19.857679914070893</v>
      </c>
      <c r="I35" s="153">
        <f>B$31*1000/(F15/100*G15/100)</f>
        <v>32223.4156820623</v>
      </c>
      <c r="J35" s="139">
        <f>I$15*I35/D$15</f>
        <v>100.69817400644469</v>
      </c>
      <c r="K35" s="39">
        <f>J35*H$15</f>
        <v>18125.671321160044</v>
      </c>
      <c r="L35" s="123">
        <f>K35/I$15</f>
        <v>72.50268528464018</v>
      </c>
    </row>
    <row r="36" spans="7:12" ht="15" thickBot="1">
      <c r="G36" s="12"/>
      <c r="H36" s="12"/>
      <c r="I36" s="133" t="s">
        <v>13</v>
      </c>
      <c r="J36" s="21">
        <f>SUM(J32:J35)</f>
        <v>414.7188831846448</v>
      </c>
      <c r="K36" s="39">
        <f>SUM(K32:K35)</f>
        <v>62736.75217954875</v>
      </c>
      <c r="L36" s="123">
        <f>K36/(SUM(I$12:I$15))</f>
        <v>62.736752179548745</v>
      </c>
    </row>
    <row r="37" spans="7:11" ht="14.25">
      <c r="G37" s="2"/>
      <c r="H37" s="66"/>
      <c r="I37" s="66"/>
      <c r="J37" s="66"/>
      <c r="K37" s="33"/>
    </row>
    <row r="39" spans="3:6" ht="15">
      <c r="C39" s="82" t="s">
        <v>33</v>
      </c>
      <c r="E39" s="64"/>
      <c r="F39" s="64"/>
    </row>
    <row r="40" ht="15">
      <c r="C40" s="82" t="s">
        <v>32</v>
      </c>
    </row>
    <row r="41" spans="3:7" ht="15">
      <c r="C41" s="82" t="s">
        <v>50</v>
      </c>
      <c r="D41" s="145" t="s">
        <v>42</v>
      </c>
      <c r="E41" s="145"/>
      <c r="F41" s="145"/>
      <c r="G41" s="145"/>
    </row>
    <row r="42" spans="2:6" ht="15">
      <c r="B42" s="82" t="s">
        <v>51</v>
      </c>
      <c r="C42" s="82" t="s">
        <v>24</v>
      </c>
      <c r="D42" s="82" t="s">
        <v>39</v>
      </c>
      <c r="E42" s="82" t="s">
        <v>36</v>
      </c>
      <c r="F42" s="82" t="s">
        <v>40</v>
      </c>
    </row>
    <row r="43" spans="2:6" ht="14.25">
      <c r="B43" s="87">
        <f aca="true" t="shared" si="0" ref="B43:B49">C43*1000/43560*2.5</f>
        <v>1.2626262626262628</v>
      </c>
      <c r="C43" s="86">
        <v>22</v>
      </c>
      <c r="D43" s="86">
        <v>4.601</v>
      </c>
      <c r="E43" s="86">
        <v>23.003</v>
      </c>
      <c r="F43" s="86">
        <v>46.007</v>
      </c>
    </row>
    <row r="44" spans="2:6" ht="14.25">
      <c r="B44" s="87">
        <f t="shared" si="0"/>
        <v>1.3774104683195594</v>
      </c>
      <c r="C44" s="86">
        <v>24</v>
      </c>
      <c r="D44" s="86">
        <v>5.019</v>
      </c>
      <c r="E44" s="85">
        <v>25.095</v>
      </c>
      <c r="F44" s="86">
        <v>50.189</v>
      </c>
    </row>
    <row r="45" spans="2:6" ht="14.25">
      <c r="B45" s="87">
        <f t="shared" si="0"/>
        <v>1.4921946740128558</v>
      </c>
      <c r="C45" s="86">
        <v>26</v>
      </c>
      <c r="D45" s="86">
        <v>5.437</v>
      </c>
      <c r="E45" s="85">
        <v>27.186</v>
      </c>
      <c r="F45" s="86">
        <v>54.372</v>
      </c>
    </row>
    <row r="46" spans="2:6" ht="14.25">
      <c r="B46" s="87">
        <f t="shared" si="0"/>
        <v>1.6069788797061524</v>
      </c>
      <c r="C46" s="86">
        <v>28</v>
      </c>
      <c r="D46" s="86">
        <v>5.855</v>
      </c>
      <c r="E46" s="85">
        <v>29.277</v>
      </c>
      <c r="F46" s="86">
        <v>58.554</v>
      </c>
    </row>
    <row r="47" spans="2:6" ht="14.25">
      <c r="B47" s="87">
        <f t="shared" si="0"/>
        <v>1.721763085399449</v>
      </c>
      <c r="C47" s="86">
        <v>30</v>
      </c>
      <c r="D47" s="86">
        <v>6.274</v>
      </c>
      <c r="E47" s="85">
        <v>31.368</v>
      </c>
      <c r="F47" s="86">
        <v>62.737</v>
      </c>
    </row>
    <row r="48" spans="2:6" ht="14.25">
      <c r="B48" s="87">
        <f t="shared" si="0"/>
        <v>1.8365472910927454</v>
      </c>
      <c r="C48" s="86">
        <v>32</v>
      </c>
      <c r="D48" s="86">
        <v>6.692</v>
      </c>
      <c r="E48" s="85">
        <v>33.46</v>
      </c>
      <c r="F48" s="86">
        <v>66.919</v>
      </c>
    </row>
    <row r="49" spans="2:6" ht="14.25">
      <c r="B49" s="87">
        <f t="shared" si="0"/>
        <v>1.9513314967860422</v>
      </c>
      <c r="C49" s="86">
        <v>34</v>
      </c>
      <c r="D49" s="86">
        <v>7.11</v>
      </c>
      <c r="E49" s="85">
        <v>35.551</v>
      </c>
      <c r="F49" s="86">
        <v>71.102</v>
      </c>
    </row>
    <row r="50" ht="14.25">
      <c r="B50" s="86"/>
    </row>
    <row r="51" spans="2:6" ht="14.25">
      <c r="B51" s="85" t="s">
        <v>15</v>
      </c>
      <c r="E51" s="85" t="s">
        <v>96</v>
      </c>
      <c r="F51" s="87">
        <f>(F49-F48)/2</f>
        <v>2.0915000000000035</v>
      </c>
    </row>
  </sheetData>
  <mergeCells count="6">
    <mergeCell ref="D41:G41"/>
    <mergeCell ref="B19:C19"/>
    <mergeCell ref="K19:L19"/>
    <mergeCell ref="B29:C29"/>
    <mergeCell ref="K29:L29"/>
    <mergeCell ref="B23:B24"/>
  </mergeCells>
  <printOptions/>
  <pageMargins left="0.71" right="0.64" top="1" bottom="1" header="0.5" footer="0.5"/>
  <pageSetup horizontalDpi="300" verticalDpi="300" orientation="landscape" r:id="rId2"/>
  <ignoredErrors>
    <ignoredError sqref="D31 I1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3.00390625" style="0" customWidth="1"/>
    <col min="3" max="4" width="10.8515625" style="0" customWidth="1"/>
    <col min="5" max="5" width="12.28125" style="0" customWidth="1"/>
    <col min="6" max="6" width="10.7109375" style="0" customWidth="1"/>
    <col min="7" max="7" width="8.421875" style="0" customWidth="1"/>
    <col min="8" max="8" width="10.8515625" style="0" customWidth="1"/>
    <col min="9" max="9" width="12.28125" style="0" customWidth="1"/>
    <col min="10" max="10" width="10.8515625" style="0" customWidth="1"/>
    <col min="11" max="11" width="10.140625" style="0" customWidth="1"/>
    <col min="12" max="12" width="12.57421875" style="0" customWidth="1"/>
    <col min="13" max="13" width="10.57421875" style="0" customWidth="1"/>
    <col min="14" max="14" width="10.140625" style="0" customWidth="1"/>
  </cols>
  <sheetData>
    <row r="1" ht="15">
      <c r="B1" s="29" t="s">
        <v>82</v>
      </c>
    </row>
    <row r="2" ht="15">
      <c r="B2" s="29" t="s">
        <v>83</v>
      </c>
    </row>
    <row r="3" ht="15">
      <c r="B3" s="29" t="s">
        <v>85</v>
      </c>
    </row>
    <row r="4" ht="15">
      <c r="B4" s="29" t="s">
        <v>84</v>
      </c>
    </row>
    <row r="5" ht="15">
      <c r="B5" s="29" t="s">
        <v>86</v>
      </c>
    </row>
    <row r="6" ht="15">
      <c r="B6" s="29" t="s">
        <v>87</v>
      </c>
    </row>
    <row r="7" ht="15">
      <c r="B7" s="29" t="s">
        <v>88</v>
      </c>
    </row>
    <row r="8" ht="14.25" customHeight="1">
      <c r="B8" s="99"/>
    </row>
    <row r="9" spans="2:9" ht="13.5" customHeight="1" thickBot="1">
      <c r="B9" s="102" t="s">
        <v>81</v>
      </c>
      <c r="D9" s="1"/>
      <c r="I9" s="1"/>
    </row>
    <row r="10" spans="2:9" ht="14.25">
      <c r="B10" s="126"/>
      <c r="C10" s="161"/>
      <c r="D10" s="97" t="s">
        <v>0</v>
      </c>
      <c r="E10" s="97" t="s">
        <v>2</v>
      </c>
      <c r="F10" s="100"/>
      <c r="G10" s="115"/>
      <c r="H10" s="159" t="s">
        <v>15</v>
      </c>
      <c r="I10" s="166"/>
    </row>
    <row r="11" spans="2:9" ht="14.25">
      <c r="B11" s="125"/>
      <c r="D11" s="6" t="s">
        <v>9</v>
      </c>
      <c r="E11" s="6">
        <v>1000</v>
      </c>
      <c r="F11" s="6" t="s">
        <v>4</v>
      </c>
      <c r="G11" s="11" t="s">
        <v>5</v>
      </c>
      <c r="H11" s="162" t="s">
        <v>16</v>
      </c>
      <c r="I11" s="167" t="s">
        <v>0</v>
      </c>
    </row>
    <row r="12" spans="2:9" ht="14.25">
      <c r="B12" s="129" t="s">
        <v>3</v>
      </c>
      <c r="C12" s="130" t="s">
        <v>78</v>
      </c>
      <c r="D12" s="131" t="s">
        <v>79</v>
      </c>
      <c r="E12" s="131" t="s">
        <v>25</v>
      </c>
      <c r="F12" s="131" t="s">
        <v>8</v>
      </c>
      <c r="G12" s="119" t="s">
        <v>8</v>
      </c>
      <c r="H12" s="163" t="s">
        <v>17</v>
      </c>
      <c r="I12" s="173" t="s">
        <v>12</v>
      </c>
    </row>
    <row r="13" spans="2:9" ht="15">
      <c r="B13" s="127" t="s">
        <v>69</v>
      </c>
      <c r="C13" s="107" t="s">
        <v>75</v>
      </c>
      <c r="D13" s="109">
        <v>3500</v>
      </c>
      <c r="E13" s="31">
        <f>(453.6*1000/D13)</f>
        <v>129.6</v>
      </c>
      <c r="F13" s="42">
        <v>90</v>
      </c>
      <c r="G13" s="116">
        <v>98</v>
      </c>
      <c r="H13" s="164">
        <v>28</v>
      </c>
      <c r="I13" s="169">
        <v>125</v>
      </c>
    </row>
    <row r="14" spans="2:9" ht="15">
      <c r="B14" s="127" t="s">
        <v>70</v>
      </c>
      <c r="C14" s="107" t="s">
        <v>72</v>
      </c>
      <c r="D14" s="109">
        <v>3000</v>
      </c>
      <c r="E14" s="31">
        <f>(453.6*1000/D14)</f>
        <v>151.2</v>
      </c>
      <c r="F14" s="42">
        <v>85</v>
      </c>
      <c r="G14" s="116">
        <v>98</v>
      </c>
      <c r="H14" s="164">
        <v>28.5</v>
      </c>
      <c r="I14" s="169">
        <v>125</v>
      </c>
    </row>
    <row r="15" spans="2:9" ht="15">
      <c r="B15" s="127" t="s">
        <v>71</v>
      </c>
      <c r="C15" s="107" t="s">
        <v>73</v>
      </c>
      <c r="D15" s="109">
        <v>3000</v>
      </c>
      <c r="E15" s="31">
        <f>(453.6*1000/D15)</f>
        <v>151.2</v>
      </c>
      <c r="F15" s="42">
        <v>90</v>
      </c>
      <c r="G15" s="116">
        <v>98</v>
      </c>
      <c r="H15" s="164">
        <v>30</v>
      </c>
      <c r="I15" s="169">
        <v>125</v>
      </c>
    </row>
    <row r="16" spans="2:9" ht="15" customHeight="1" thickBot="1">
      <c r="B16" s="128" t="s">
        <v>71</v>
      </c>
      <c r="C16" s="108" t="s">
        <v>74</v>
      </c>
      <c r="D16" s="110">
        <v>2500</v>
      </c>
      <c r="E16" s="32">
        <f>(453.6*1000/D16)</f>
        <v>181.44</v>
      </c>
      <c r="F16" s="44">
        <v>90</v>
      </c>
      <c r="G16" s="117">
        <v>98</v>
      </c>
      <c r="H16" s="165">
        <v>32</v>
      </c>
      <c r="I16" s="170">
        <v>125</v>
      </c>
    </row>
    <row r="17" spans="2:9" ht="15" customHeight="1" thickBot="1">
      <c r="B17" s="51"/>
      <c r="C17" s="101"/>
      <c r="D17" s="60"/>
      <c r="E17" s="31"/>
      <c r="F17" s="42"/>
      <c r="G17" s="65"/>
      <c r="H17" s="176" t="s">
        <v>13</v>
      </c>
      <c r="I17" s="171">
        <f>SUM(I13:I16)</f>
        <v>500</v>
      </c>
    </row>
    <row r="18" spans="2:7" ht="15.75">
      <c r="B18" s="28" t="s">
        <v>80</v>
      </c>
      <c r="D18" s="60"/>
      <c r="E18" s="31"/>
      <c r="F18" s="42"/>
      <c r="G18" s="65"/>
    </row>
    <row r="19" spans="2:7" ht="16.5" thickBot="1">
      <c r="B19" s="28"/>
      <c r="E19" s="60"/>
      <c r="G19" s="65"/>
    </row>
    <row r="20" spans="2:12" ht="15" customHeight="1">
      <c r="B20" s="180" t="s">
        <v>29</v>
      </c>
      <c r="C20" s="179"/>
      <c r="D20" s="98" t="s">
        <v>1</v>
      </c>
      <c r="E20" s="26" t="s">
        <v>28</v>
      </c>
      <c r="F20" s="181"/>
      <c r="G20" s="97" t="s">
        <v>2</v>
      </c>
      <c r="H20" s="97" t="s">
        <v>22</v>
      </c>
      <c r="I20" s="97" t="s">
        <v>37</v>
      </c>
      <c r="J20" s="26" t="s">
        <v>0</v>
      </c>
      <c r="K20" s="177" t="s">
        <v>15</v>
      </c>
      <c r="L20" s="178"/>
    </row>
    <row r="21" spans="2:12" ht="14.25">
      <c r="B21" s="192" t="s">
        <v>35</v>
      </c>
      <c r="C21" s="131" t="s">
        <v>38</v>
      </c>
      <c r="D21" s="131" t="s">
        <v>11</v>
      </c>
      <c r="E21" s="119" t="s">
        <v>10</v>
      </c>
      <c r="F21" s="182" t="s">
        <v>90</v>
      </c>
      <c r="G21" s="6" t="s">
        <v>6</v>
      </c>
      <c r="H21" s="6" t="s">
        <v>23</v>
      </c>
      <c r="I21" s="6" t="s">
        <v>25</v>
      </c>
      <c r="J21" s="27" t="s">
        <v>30</v>
      </c>
      <c r="K21" s="24" t="s">
        <v>16</v>
      </c>
      <c r="L21" s="121" t="s">
        <v>16</v>
      </c>
    </row>
    <row r="22" spans="2:12" ht="15" customHeight="1" thickBot="1">
      <c r="B22" s="186">
        <v>140</v>
      </c>
      <c r="C22" s="32">
        <f>B22*1000/43560</f>
        <v>3.2139577594123048</v>
      </c>
      <c r="D22" s="149">
        <v>7.5</v>
      </c>
      <c r="E22" s="156">
        <f>C22/12*D22</f>
        <v>2.0087235996326904</v>
      </c>
      <c r="F22" s="175" t="s">
        <v>0</v>
      </c>
      <c r="G22" s="25" t="s">
        <v>19</v>
      </c>
      <c r="H22" s="13" t="s">
        <v>57</v>
      </c>
      <c r="I22" s="13" t="s">
        <v>57</v>
      </c>
      <c r="J22" s="14" t="s">
        <v>14</v>
      </c>
      <c r="K22" s="25" t="s">
        <v>18</v>
      </c>
      <c r="L22" s="120" t="s">
        <v>21</v>
      </c>
    </row>
    <row r="23" spans="3:12" ht="15" customHeight="1">
      <c r="C23" s="42"/>
      <c r="D23" s="31"/>
      <c r="E23" s="113"/>
      <c r="F23" s="183" t="str">
        <f>C13</f>
        <v>BR-549</v>
      </c>
      <c r="G23" s="62">
        <f>((H23/43560*($D$22/12))*453.6*200)</f>
        <v>59.031877213695395</v>
      </c>
      <c r="H23" s="172">
        <f>($B$22*1000/D13)/((F13/100)*(G13/100))</f>
        <v>45.35147392290249</v>
      </c>
      <c r="I23" s="67">
        <f>H23*D13</f>
        <v>158730.15873015873</v>
      </c>
      <c r="J23" s="138">
        <f>I13*H23/50</f>
        <v>113.37868480725623</v>
      </c>
      <c r="K23" s="38">
        <f>J23*H13</f>
        <v>3174.6031746031745</v>
      </c>
      <c r="L23" s="122">
        <f>K23/I13</f>
        <v>25.396825396825395</v>
      </c>
    </row>
    <row r="24" spans="2:12" ht="14.25">
      <c r="B24" s="143"/>
      <c r="F24" s="184" t="str">
        <f>C14</f>
        <v>BR-abc</v>
      </c>
      <c r="G24" s="62">
        <f>((H24/43560*($D$22/12))*453.6*200)</f>
        <v>72.92173067574137</v>
      </c>
      <c r="H24" s="12">
        <f>($B$22*1000/D14)/((F14/100)*(G14/100))</f>
        <v>56.022408963585434</v>
      </c>
      <c r="I24" s="67">
        <f>H24*D14</f>
        <v>168067.2268907563</v>
      </c>
      <c r="J24" s="138">
        <f>I14*H24/50</f>
        <v>140.05602240896357</v>
      </c>
      <c r="K24" s="38">
        <f>J24*H14</f>
        <v>3991.596638655462</v>
      </c>
      <c r="L24" s="122">
        <f>K24/I14</f>
        <v>31.932773109243694</v>
      </c>
    </row>
    <row r="25" spans="2:12" ht="14.25">
      <c r="B25" s="144"/>
      <c r="F25" s="184" t="str">
        <f>C15</f>
        <v>BE-def</v>
      </c>
      <c r="G25" s="62">
        <f>((H25/43560*($D$22/12))*453.6*200)</f>
        <v>68.87052341597796</v>
      </c>
      <c r="H25" s="12">
        <f>($B$22*1000/D15)/((F15/100)*(G15/100))</f>
        <v>52.910052910052904</v>
      </c>
      <c r="I25" s="67">
        <f>H25*D15</f>
        <v>158730.15873015873</v>
      </c>
      <c r="J25" s="138">
        <f>I15*H25/50</f>
        <v>132.27513227513225</v>
      </c>
      <c r="K25" s="38">
        <f>J25*H15</f>
        <v>3968.2539682539673</v>
      </c>
      <c r="L25" s="122">
        <f>K25/I15</f>
        <v>31.74603174603174</v>
      </c>
    </row>
    <row r="26" spans="6:12" ht="15" thickBot="1">
      <c r="F26" s="185" t="str">
        <f>C16</f>
        <v>BR-xyz</v>
      </c>
      <c r="G26" s="63">
        <f>((H26/43560*($D$22/12))*453.6*200)</f>
        <v>82.64462809917356</v>
      </c>
      <c r="H26" s="114">
        <f>($B$22*1000/D16)/((F16/100)*(G16/100))</f>
        <v>63.492063492063494</v>
      </c>
      <c r="I26" s="68">
        <f>H26*D16</f>
        <v>158730.15873015873</v>
      </c>
      <c r="J26" s="139">
        <f>I16*H26/50</f>
        <v>158.73015873015873</v>
      </c>
      <c r="K26" s="39">
        <f>J26*H16</f>
        <v>5079.3650793650795</v>
      </c>
      <c r="L26" s="123">
        <f>K26/I16</f>
        <v>40.63492063492063</v>
      </c>
    </row>
    <row r="27" spans="9:12" ht="15" thickBot="1">
      <c r="I27" s="124" t="s">
        <v>13</v>
      </c>
      <c r="J27" s="21">
        <f>SUM(J23:J26)</f>
        <v>544.4399982215108</v>
      </c>
      <c r="K27" s="39">
        <f>SUM(K23:K26)</f>
        <v>16213.818860877682</v>
      </c>
      <c r="L27" s="123">
        <f>K27/I17</f>
        <v>32.42763772175536</v>
      </c>
    </row>
    <row r="28" spans="4:12" ht="15" thickBot="1">
      <c r="D28" s="12"/>
      <c r="E28" s="33"/>
      <c r="F28" s="33"/>
      <c r="G28" s="33"/>
      <c r="H28" s="12"/>
      <c r="I28" s="114"/>
      <c r="J28" s="1"/>
      <c r="K28" s="33"/>
      <c r="L28" s="33"/>
    </row>
    <row r="29" spans="1:12" ht="14.25">
      <c r="A29" s="33"/>
      <c r="B29" s="191" t="s">
        <v>29</v>
      </c>
      <c r="C29" s="194"/>
      <c r="D29" s="98" t="s">
        <v>1</v>
      </c>
      <c r="E29" s="26" t="s">
        <v>28</v>
      </c>
      <c r="F29" s="193"/>
      <c r="G29" s="69" t="s">
        <v>2</v>
      </c>
      <c r="H29" s="97" t="s">
        <v>22</v>
      </c>
      <c r="I29" s="97" t="s">
        <v>37</v>
      </c>
      <c r="J29" s="26" t="s">
        <v>0</v>
      </c>
      <c r="K29" s="140" t="s">
        <v>15</v>
      </c>
      <c r="L29" s="197"/>
    </row>
    <row r="30" spans="1:12" ht="14.25">
      <c r="A30" s="33"/>
      <c r="B30" s="192" t="s">
        <v>35</v>
      </c>
      <c r="C30" s="131" t="s">
        <v>38</v>
      </c>
      <c r="D30" s="131" t="s">
        <v>11</v>
      </c>
      <c r="E30" s="119" t="s">
        <v>10</v>
      </c>
      <c r="F30" s="189"/>
      <c r="G30" s="10" t="s">
        <v>6</v>
      </c>
      <c r="H30" s="6" t="s">
        <v>23</v>
      </c>
      <c r="I30" s="6" t="s">
        <v>25</v>
      </c>
      <c r="J30" s="27" t="s">
        <v>30</v>
      </c>
      <c r="K30" s="24" t="s">
        <v>16</v>
      </c>
      <c r="L30" s="121" t="s">
        <v>16</v>
      </c>
    </row>
    <row r="31" spans="2:12" ht="15.75" thickBot="1">
      <c r="B31" s="186">
        <v>175</v>
      </c>
      <c r="C31" s="195">
        <f>B31*1000/43560</f>
        <v>4.017447199265381</v>
      </c>
      <c r="D31" s="196">
        <f>D22</f>
        <v>7.5</v>
      </c>
      <c r="E31" s="190">
        <f>C31/12*D31</f>
        <v>2.510904499540863</v>
      </c>
      <c r="F31" s="160" t="s">
        <v>77</v>
      </c>
      <c r="G31" s="111" t="s">
        <v>19</v>
      </c>
      <c r="H31" s="13" t="s">
        <v>57</v>
      </c>
      <c r="I31" s="13" t="s">
        <v>57</v>
      </c>
      <c r="J31" s="14" t="s">
        <v>14</v>
      </c>
      <c r="K31" s="25" t="s">
        <v>18</v>
      </c>
      <c r="L31" s="120" t="s">
        <v>21</v>
      </c>
    </row>
    <row r="32" spans="6:13" ht="14.25">
      <c r="F32" s="132" t="str">
        <f>C13</f>
        <v>BR-549</v>
      </c>
      <c r="G32" s="70">
        <f>((H32/43560*($D$22/12))*453.6*200)</f>
        <v>73.78984651711924</v>
      </c>
      <c r="H32" s="12">
        <f>($B$31*1000/D13)/((F13/100)*(G13/100))</f>
        <v>56.68934240362812</v>
      </c>
      <c r="I32" s="67">
        <f>H32*D13</f>
        <v>198412.6984126984</v>
      </c>
      <c r="J32" s="187">
        <f>I13*H32/50</f>
        <v>141.72335600907027</v>
      </c>
      <c r="K32" s="38">
        <f>J32*H13</f>
        <v>3968.2539682539677</v>
      </c>
      <c r="L32" s="122">
        <f>K32/I13</f>
        <v>31.746031746031743</v>
      </c>
      <c r="M32" s="33"/>
    </row>
    <row r="33" spans="6:14" ht="14.25">
      <c r="F33" s="132" t="str">
        <f>C14</f>
        <v>BR-abc</v>
      </c>
      <c r="G33" s="70">
        <f>((H33/43560*($D$22/12))*453.6*200)</f>
        <v>91.15216334467672</v>
      </c>
      <c r="H33" s="12">
        <f>($B$31*1000/D14)/((F14/100)*(G14/100))</f>
        <v>70.0280112044818</v>
      </c>
      <c r="I33" s="67">
        <f>H33*D14</f>
        <v>210084.0336134454</v>
      </c>
      <c r="J33" s="187">
        <f>I14*H33/50</f>
        <v>175.0700280112045</v>
      </c>
      <c r="K33" s="38">
        <f>J33*H14</f>
        <v>4989.495798319328</v>
      </c>
      <c r="L33" s="122">
        <f>K33/I14</f>
        <v>39.91596638655462</v>
      </c>
      <c r="M33" s="31"/>
      <c r="N33" s="112"/>
    </row>
    <row r="34" spans="6:12" ht="14.25">
      <c r="F34" s="132" t="str">
        <f>C15</f>
        <v>BE-def</v>
      </c>
      <c r="G34" s="70">
        <f>((H34/43560*($D$22/12))*453.6*200)</f>
        <v>86.08815426997246</v>
      </c>
      <c r="H34" s="12">
        <f>($B$31*1000/D15)/((F15/100)*(G15/100))</f>
        <v>66.13756613756614</v>
      </c>
      <c r="I34" s="67">
        <f>H34*D15</f>
        <v>198412.69841269843</v>
      </c>
      <c r="J34" s="187">
        <f>I15*H34/50</f>
        <v>165.34391534391537</v>
      </c>
      <c r="K34" s="38">
        <f>J34*H15</f>
        <v>4960.317460317461</v>
      </c>
      <c r="L34" s="122">
        <f>K34/I15</f>
        <v>39.68253968253969</v>
      </c>
    </row>
    <row r="35" spans="5:12" ht="15" thickBot="1">
      <c r="E35" s="33"/>
      <c r="F35" s="132" t="str">
        <f>C16</f>
        <v>BR-xyz</v>
      </c>
      <c r="G35" s="71">
        <f>((H35/43560*($D$22/12))*453.6*200)</f>
        <v>103.30578512396693</v>
      </c>
      <c r="H35" s="114">
        <f>($B$31*1000/D16)/((F16/100)*(G16/100))</f>
        <v>79.36507936507937</v>
      </c>
      <c r="I35" s="68">
        <f>H35*D16</f>
        <v>198412.69841269843</v>
      </c>
      <c r="J35" s="188">
        <f>I16*H35/50</f>
        <v>198.4126984126984</v>
      </c>
      <c r="K35" s="39">
        <f>J35*H16</f>
        <v>6349.206349206349</v>
      </c>
      <c r="L35" s="123">
        <f>K35/I16</f>
        <v>50.79365079365079</v>
      </c>
    </row>
    <row r="36" spans="6:12" ht="15" thickBot="1">
      <c r="F36" s="172"/>
      <c r="I36" s="124" t="s">
        <v>13</v>
      </c>
      <c r="J36" s="21">
        <f>SUM(J32:J35)</f>
        <v>680.5499977768885</v>
      </c>
      <c r="K36" s="39">
        <f>SUM(K32:K35)</f>
        <v>20267.273576097105</v>
      </c>
      <c r="L36" s="123">
        <f>K36/I17</f>
        <v>40.53454715219421</v>
      </c>
    </row>
    <row r="37" ht="14.25">
      <c r="I37" s="12"/>
    </row>
    <row r="39" spans="3:6" ht="15">
      <c r="C39" s="82" t="s">
        <v>33</v>
      </c>
      <c r="D39" s="81"/>
      <c r="E39" s="82"/>
      <c r="F39" s="81"/>
    </row>
    <row r="40" spans="3:6" ht="15">
      <c r="C40" s="82" t="s">
        <v>32</v>
      </c>
      <c r="D40" s="81"/>
      <c r="E40" s="81"/>
      <c r="F40" s="81"/>
    </row>
    <row r="41" spans="3:6" ht="15">
      <c r="C41" s="82" t="s">
        <v>50</v>
      </c>
      <c r="D41" s="145" t="s">
        <v>42</v>
      </c>
      <c r="E41" s="145"/>
      <c r="F41" s="145"/>
    </row>
    <row r="42" spans="2:6" ht="15">
      <c r="B42" s="82" t="s">
        <v>34</v>
      </c>
      <c r="C42" s="82" t="s">
        <v>58</v>
      </c>
      <c r="D42" s="82" t="s">
        <v>39</v>
      </c>
      <c r="E42" s="82" t="s">
        <v>36</v>
      </c>
      <c r="F42" s="82" t="s">
        <v>40</v>
      </c>
    </row>
    <row r="43" spans="2:6" ht="14.25">
      <c r="B43" s="87">
        <f aca="true" t="shared" si="0" ref="B43:B49">C43*1000/43560</f>
        <v>1.147842056932966</v>
      </c>
      <c r="C43" s="86">
        <v>50</v>
      </c>
      <c r="D43" s="105">
        <f>1158/1000</f>
        <v>1.158</v>
      </c>
      <c r="E43" s="105">
        <f>5791/1000</f>
        <v>5.791</v>
      </c>
      <c r="F43" s="105">
        <f>11581/1000</f>
        <v>11.581</v>
      </c>
    </row>
    <row r="44" spans="2:6" ht="14.25">
      <c r="B44" s="87">
        <f t="shared" si="0"/>
        <v>1.721763085399449</v>
      </c>
      <c r="C44" s="86">
        <v>75</v>
      </c>
      <c r="D44" s="105">
        <f>1737/1000</f>
        <v>1.737</v>
      </c>
      <c r="E44" s="106">
        <f>8686/1000</f>
        <v>8.686</v>
      </c>
      <c r="F44" s="105">
        <f>17372/1000</f>
        <v>17.372</v>
      </c>
    </row>
    <row r="45" spans="2:6" ht="14.25">
      <c r="B45" s="87">
        <f t="shared" si="0"/>
        <v>2.295684113865932</v>
      </c>
      <c r="C45" s="86">
        <v>100</v>
      </c>
      <c r="D45" s="105">
        <f>2316/1000</f>
        <v>2.316</v>
      </c>
      <c r="E45" s="106">
        <f>11581/1000</f>
        <v>11.581</v>
      </c>
      <c r="F45" s="105">
        <f>23163/1000</f>
        <v>23.163</v>
      </c>
    </row>
    <row r="46" spans="2:6" ht="14.25">
      <c r="B46" s="87">
        <f t="shared" si="0"/>
        <v>2.869605142332415</v>
      </c>
      <c r="C46" s="86">
        <v>125</v>
      </c>
      <c r="D46" s="105">
        <f>2895/1000</f>
        <v>2.895</v>
      </c>
      <c r="E46" s="106">
        <f>14477/1000</f>
        <v>14.477</v>
      </c>
      <c r="F46" s="105">
        <f>28953/1000</f>
        <v>28.953</v>
      </c>
    </row>
    <row r="47" spans="2:6" ht="14.25">
      <c r="B47" s="87">
        <f t="shared" si="0"/>
        <v>3.443526170798898</v>
      </c>
      <c r="C47" s="86">
        <v>150</v>
      </c>
      <c r="D47" s="105">
        <f>3474/1000</f>
        <v>3.474</v>
      </c>
      <c r="E47" s="106">
        <f>17372/1000</f>
        <v>17.372</v>
      </c>
      <c r="F47" s="105">
        <f>34744/1000</f>
        <v>34.744</v>
      </c>
    </row>
    <row r="48" spans="2:6" ht="14.25">
      <c r="B48" s="87">
        <f t="shared" si="0"/>
        <v>4.017447199265381</v>
      </c>
      <c r="C48" s="86">
        <v>175</v>
      </c>
      <c r="D48" s="105">
        <f>4053/1000</f>
        <v>4.053</v>
      </c>
      <c r="E48" s="106">
        <f>20267/1000</f>
        <v>20.267</v>
      </c>
      <c r="F48" s="105">
        <f>40535/1000</f>
        <v>40.535</v>
      </c>
    </row>
    <row r="49" spans="2:6" ht="14.25">
      <c r="B49" s="87">
        <f t="shared" si="0"/>
        <v>4.591368227731864</v>
      </c>
      <c r="C49" s="86">
        <v>200</v>
      </c>
      <c r="D49" s="105">
        <f>4633/1000</f>
        <v>4.633</v>
      </c>
      <c r="E49" s="106">
        <f>23163/1000</f>
        <v>23.163</v>
      </c>
      <c r="F49" s="105">
        <f>46325/1000</f>
        <v>46.325</v>
      </c>
    </row>
    <row r="51" spans="2:5" ht="14.25">
      <c r="B51" s="85" t="s">
        <v>15</v>
      </c>
      <c r="D51" s="85" t="s">
        <v>96</v>
      </c>
      <c r="E51" s="104">
        <f>(F49-F48)/25</f>
        <v>0.23160000000000025</v>
      </c>
    </row>
    <row r="52" ht="12.75">
      <c r="E52" s="103"/>
    </row>
  </sheetData>
  <mergeCells count="6">
    <mergeCell ref="K20:L20"/>
    <mergeCell ref="K29:L29"/>
    <mergeCell ref="D41:F41"/>
    <mergeCell ref="B20:C20"/>
    <mergeCell ref="B29:C29"/>
    <mergeCell ref="B24:B25"/>
  </mergeCells>
  <printOptions/>
  <pageMargins left="0.58" right="0.47" top="0.51" bottom="0.53" header="0.5" footer="0.5"/>
  <pageSetup horizontalDpi="300" verticalDpi="300" orientation="portrait" r:id="rId2"/>
  <ignoredErrors>
    <ignoredError sqref="F26 D3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8.28125" style="0" customWidth="1"/>
    <col min="4" max="4" width="8.57421875" style="0" customWidth="1"/>
    <col min="5" max="5" width="8.7109375" style="0" customWidth="1"/>
    <col min="6" max="6" width="10.140625" style="0" customWidth="1"/>
    <col min="7" max="7" width="8.421875" style="0" customWidth="1"/>
    <col min="8" max="8" width="10.8515625" style="0" customWidth="1"/>
    <col min="9" max="9" width="8.00390625" style="0" customWidth="1"/>
    <col min="10" max="10" width="8.57421875" style="0" customWidth="1"/>
    <col min="11" max="11" width="8.421875" style="0" customWidth="1"/>
    <col min="12" max="12" width="8.8515625" style="0" customWidth="1"/>
    <col min="13" max="13" width="11.7109375" style="0" customWidth="1"/>
  </cols>
  <sheetData>
    <row r="1" ht="15">
      <c r="B1" s="29" t="s">
        <v>65</v>
      </c>
    </row>
    <row r="2" ht="15">
      <c r="B2" s="29" t="s">
        <v>66</v>
      </c>
    </row>
    <row r="3" ht="15">
      <c r="B3" s="29" t="s">
        <v>64</v>
      </c>
    </row>
    <row r="4" ht="15">
      <c r="B4" s="29" t="s">
        <v>68</v>
      </c>
    </row>
    <row r="5" ht="15">
      <c r="B5" s="29" t="s">
        <v>63</v>
      </c>
    </row>
    <row r="6" ht="15">
      <c r="B6" s="99" t="s">
        <v>59</v>
      </c>
    </row>
    <row r="7" spans="2:5" ht="13.5" thickBot="1">
      <c r="B7" s="1"/>
      <c r="C7" s="1"/>
      <c r="D7" s="1"/>
      <c r="E7" s="1"/>
    </row>
    <row r="8" spans="2:8" ht="14.25">
      <c r="B8" s="146" t="s">
        <v>29</v>
      </c>
      <c r="C8" s="147"/>
      <c r="D8" s="15" t="s">
        <v>1</v>
      </c>
      <c r="E8" s="22" t="s">
        <v>28</v>
      </c>
      <c r="H8" s="148"/>
    </row>
    <row r="9" spans="2:8" ht="14.25">
      <c r="B9" s="19" t="s">
        <v>27</v>
      </c>
      <c r="C9" s="23" t="s">
        <v>26</v>
      </c>
      <c r="D9" s="19" t="s">
        <v>11</v>
      </c>
      <c r="E9" s="23" t="s">
        <v>10</v>
      </c>
      <c r="H9" s="148"/>
    </row>
    <row r="10" spans="2:14" ht="15.75" thickBot="1">
      <c r="B10" s="57">
        <v>225</v>
      </c>
      <c r="C10" s="40">
        <f>B10/9</f>
        <v>25</v>
      </c>
      <c r="D10" s="41">
        <v>7.5</v>
      </c>
      <c r="E10" s="48">
        <f>C10/12*D10</f>
        <v>15.625000000000002</v>
      </c>
      <c r="F10" s="4"/>
      <c r="G10" s="4"/>
      <c r="H10" s="4"/>
      <c r="I10" s="4"/>
      <c r="J10" s="1"/>
      <c r="K10" s="1"/>
      <c r="L10" s="1"/>
      <c r="M10" s="1"/>
      <c r="N10" s="1"/>
    </row>
    <row r="11" spans="2:14" ht="14.25">
      <c r="B11" s="5"/>
      <c r="C11" s="6" t="s">
        <v>0</v>
      </c>
      <c r="D11" s="6" t="s">
        <v>2</v>
      </c>
      <c r="E11" s="7"/>
      <c r="F11" s="8"/>
      <c r="G11" s="6" t="s">
        <v>22</v>
      </c>
      <c r="H11" s="6" t="s">
        <v>56</v>
      </c>
      <c r="I11" s="9" t="s">
        <v>2</v>
      </c>
      <c r="J11" s="3"/>
      <c r="K11" s="26" t="s">
        <v>0</v>
      </c>
      <c r="L11" s="140" t="s">
        <v>15</v>
      </c>
      <c r="M11" s="142"/>
      <c r="N11" s="141"/>
    </row>
    <row r="12" spans="2:14" ht="14.25">
      <c r="B12" s="10" t="s">
        <v>3</v>
      </c>
      <c r="C12" s="6" t="s">
        <v>9</v>
      </c>
      <c r="D12" s="6">
        <v>1000</v>
      </c>
      <c r="E12" s="6" t="s">
        <v>4</v>
      </c>
      <c r="F12" s="6" t="s">
        <v>5</v>
      </c>
      <c r="G12" s="6" t="s">
        <v>23</v>
      </c>
      <c r="H12" s="6" t="s">
        <v>25</v>
      </c>
      <c r="I12" s="11" t="s">
        <v>6</v>
      </c>
      <c r="J12" s="3" t="s">
        <v>0</v>
      </c>
      <c r="K12" s="27" t="s">
        <v>30</v>
      </c>
      <c r="L12" s="3" t="s">
        <v>16</v>
      </c>
      <c r="M12" s="24" t="s">
        <v>16</v>
      </c>
      <c r="N12" s="27" t="s">
        <v>16</v>
      </c>
    </row>
    <row r="13" spans="2:14" ht="15" thickBot="1">
      <c r="B13" s="30" t="s">
        <v>20</v>
      </c>
      <c r="C13" s="13" t="s">
        <v>7</v>
      </c>
      <c r="D13" s="13" t="s">
        <v>25</v>
      </c>
      <c r="E13" s="13" t="s">
        <v>8</v>
      </c>
      <c r="F13" s="13" t="s">
        <v>8</v>
      </c>
      <c r="G13" s="13" t="s">
        <v>57</v>
      </c>
      <c r="H13" s="91" t="s">
        <v>57</v>
      </c>
      <c r="I13" s="14" t="s">
        <v>19</v>
      </c>
      <c r="J13" s="25" t="s">
        <v>12</v>
      </c>
      <c r="K13" s="14" t="s">
        <v>14</v>
      </c>
      <c r="L13" s="25" t="s">
        <v>17</v>
      </c>
      <c r="M13" s="25" t="s">
        <v>18</v>
      </c>
      <c r="N13" s="14" t="s">
        <v>21</v>
      </c>
    </row>
    <row r="14" spans="2:14" ht="15">
      <c r="B14" s="58" t="s">
        <v>52</v>
      </c>
      <c r="C14" s="60">
        <v>13765</v>
      </c>
      <c r="D14" s="31">
        <f>(453.6*1000/C14)</f>
        <v>32.95314202687977</v>
      </c>
      <c r="E14" s="42">
        <v>90</v>
      </c>
      <c r="F14" s="43">
        <v>99.5</v>
      </c>
      <c r="G14" s="62">
        <f>(43560*$C$10/C14)/((E14/100)*(F14/100))</f>
        <v>88.3458337820596</v>
      </c>
      <c r="H14" s="67">
        <f>G14*C14</f>
        <v>1216080.4020100504</v>
      </c>
      <c r="I14" s="50">
        <f>((G14/43560*($D$10/12))*453.6*200)</f>
        <v>114.99561008821809</v>
      </c>
      <c r="J14" s="49">
        <v>25</v>
      </c>
      <c r="K14" s="50">
        <f>J14*G14/50</f>
        <v>44.1729168910298</v>
      </c>
      <c r="L14" s="47">
        <v>6</v>
      </c>
      <c r="M14" s="38">
        <f>K14*L14</f>
        <v>265.03750134617883</v>
      </c>
      <c r="N14" s="35">
        <f>M14/J14</f>
        <v>10.601500053847154</v>
      </c>
    </row>
    <row r="15" spans="2:14" ht="15.75" customHeight="1">
      <c r="B15" s="58" t="s">
        <v>53</v>
      </c>
      <c r="C15" s="60">
        <v>17089</v>
      </c>
      <c r="D15" s="31">
        <f>(453.6*1000/C15)</f>
        <v>26.54339048510738</v>
      </c>
      <c r="E15" s="42">
        <v>97</v>
      </c>
      <c r="F15" s="42">
        <v>99.97</v>
      </c>
      <c r="G15" s="62">
        <f>(43560*$C$10/C15)/((E15/100)*(F15/100))</f>
        <v>65.71580066512985</v>
      </c>
      <c r="H15" s="67">
        <f>G15*C15</f>
        <v>1123017.317566404</v>
      </c>
      <c r="I15" s="50">
        <f>((G15/43560*($D$10/12))*453.6*200)</f>
        <v>85.539162022793</v>
      </c>
      <c r="J15" s="49">
        <v>25</v>
      </c>
      <c r="K15" s="50">
        <f>J15*G15/50</f>
        <v>32.857900332564924</v>
      </c>
      <c r="L15" s="47">
        <v>7.5</v>
      </c>
      <c r="M15" s="38">
        <f>K15*L15</f>
        <v>246.43425249423694</v>
      </c>
      <c r="N15" s="35">
        <f>M15/J15</f>
        <v>9.857370099769478</v>
      </c>
    </row>
    <row r="16" spans="2:14" ht="15">
      <c r="B16" s="58" t="s">
        <v>54</v>
      </c>
      <c r="C16" s="60">
        <v>16453</v>
      </c>
      <c r="D16" s="31">
        <f>(453.6*1000/C16)</f>
        <v>27.569440223667417</v>
      </c>
      <c r="E16" s="42">
        <v>90</v>
      </c>
      <c r="F16" s="43">
        <v>99</v>
      </c>
      <c r="G16" s="62">
        <f>(43560*$C$10/C16)/((E16/100)*(F16/100))</f>
        <v>74.28567569575289</v>
      </c>
      <c r="H16" s="67">
        <f>G16*C16</f>
        <v>1222222.2222222222</v>
      </c>
      <c r="I16" s="50">
        <f>((G16/43560*($D$10/12))*453.6*200)</f>
        <v>96.69416464529819</v>
      </c>
      <c r="J16" s="51">
        <v>25</v>
      </c>
      <c r="K16" s="50">
        <f>J16*G16/50</f>
        <v>37.14283784787644</v>
      </c>
      <c r="L16" s="47">
        <v>6</v>
      </c>
      <c r="M16" s="38">
        <f>K16*L16</f>
        <v>222.85702708725864</v>
      </c>
      <c r="N16" s="35">
        <f>M16/J16</f>
        <v>8.914281083490346</v>
      </c>
    </row>
    <row r="17" spans="2:14" ht="15.75" thickBot="1">
      <c r="B17" s="59" t="s">
        <v>55</v>
      </c>
      <c r="C17" s="61">
        <v>9700</v>
      </c>
      <c r="D17" s="32">
        <f>(453.6*1000/C17)</f>
        <v>46.76288659793814</v>
      </c>
      <c r="E17" s="44">
        <v>92</v>
      </c>
      <c r="F17" s="45">
        <v>99.84</v>
      </c>
      <c r="G17" s="63">
        <f>(43560*$C$10/C17)/((E17/100)*(F17/100))</f>
        <v>122.22604127159258</v>
      </c>
      <c r="H17" s="68">
        <f>G17*C17</f>
        <v>1185592.600334448</v>
      </c>
      <c r="I17" s="53">
        <f>((G17/43560*($D$10/12))*453.6*200)</f>
        <v>159.09588016756888</v>
      </c>
      <c r="J17" s="52">
        <v>25</v>
      </c>
      <c r="K17" s="53">
        <f>J17*G17/50</f>
        <v>61.11302063579629</v>
      </c>
      <c r="L17" s="46">
        <v>13</v>
      </c>
      <c r="M17" s="39">
        <f>K17*L17</f>
        <v>794.4692682653517</v>
      </c>
      <c r="N17" s="36">
        <f>M17/J17</f>
        <v>31.77877073061407</v>
      </c>
    </row>
    <row r="18" spans="2:14" ht="15" thickBot="1">
      <c r="B18" s="24"/>
      <c r="C18" s="16"/>
      <c r="D18" s="12"/>
      <c r="E18" s="17"/>
      <c r="F18" s="18"/>
      <c r="G18" s="12"/>
      <c r="H18" s="12"/>
      <c r="I18" s="21" t="s">
        <v>13</v>
      </c>
      <c r="J18" s="54">
        <f>SUM(J14:J17)</f>
        <v>100</v>
      </c>
      <c r="K18" s="55">
        <f>SUM(K14:K17)</f>
        <v>175.28667570726745</v>
      </c>
      <c r="L18" s="37"/>
      <c r="M18" s="39">
        <f>SUM(M14:M17)</f>
        <v>1528.7980491930261</v>
      </c>
      <c r="N18" s="36">
        <f>M18/J18</f>
        <v>15.287980491930261</v>
      </c>
    </row>
    <row r="19" spans="2:14" ht="15">
      <c r="B19" s="28" t="s">
        <v>41</v>
      </c>
      <c r="F19" s="18"/>
      <c r="G19" s="12"/>
      <c r="H19" s="12"/>
      <c r="I19" s="12"/>
      <c r="J19" s="89"/>
      <c r="K19" s="62"/>
      <c r="L19" s="90"/>
      <c r="M19" s="38"/>
      <c r="N19" s="88"/>
    </row>
    <row r="20" spans="6:14" ht="15" thickBot="1">
      <c r="F20" s="56"/>
      <c r="L20" s="1"/>
      <c r="M20" s="1"/>
      <c r="N20" s="1"/>
    </row>
    <row r="21" spans="3:14" ht="14.25">
      <c r="C21" s="140" t="s">
        <v>29</v>
      </c>
      <c r="D21" s="141"/>
      <c r="E21" s="73" t="s">
        <v>1</v>
      </c>
      <c r="F21" s="74" t="s">
        <v>28</v>
      </c>
      <c r="G21" s="69" t="s">
        <v>22</v>
      </c>
      <c r="H21" s="97" t="s">
        <v>37</v>
      </c>
      <c r="I21" s="9" t="s">
        <v>2</v>
      </c>
      <c r="J21" s="98"/>
      <c r="K21" s="26" t="s">
        <v>0</v>
      </c>
      <c r="L21" s="140" t="s">
        <v>15</v>
      </c>
      <c r="M21" s="142"/>
      <c r="N21" s="141"/>
    </row>
    <row r="22" spans="3:14" ht="14.25">
      <c r="C22" s="19" t="s">
        <v>27</v>
      </c>
      <c r="D22" s="23" t="s">
        <v>26</v>
      </c>
      <c r="E22" s="19" t="s">
        <v>11</v>
      </c>
      <c r="F22" s="23" t="s">
        <v>10</v>
      </c>
      <c r="G22" s="10" t="s">
        <v>23</v>
      </c>
      <c r="H22" s="6" t="s">
        <v>25</v>
      </c>
      <c r="I22" s="11" t="s">
        <v>6</v>
      </c>
      <c r="J22" s="3" t="s">
        <v>0</v>
      </c>
      <c r="K22" s="27" t="s">
        <v>30</v>
      </c>
      <c r="L22" s="3" t="s">
        <v>16</v>
      </c>
      <c r="M22" s="24" t="s">
        <v>16</v>
      </c>
      <c r="N22" s="27" t="s">
        <v>16</v>
      </c>
    </row>
    <row r="23" spans="3:14" ht="15.75" thickBot="1">
      <c r="C23" s="57">
        <v>325</v>
      </c>
      <c r="D23" s="48">
        <f>C23/9</f>
        <v>36.111111111111114</v>
      </c>
      <c r="E23" s="94">
        <v>7.5</v>
      </c>
      <c r="F23" s="48">
        <f>D23/12*E23</f>
        <v>22.569444444444446</v>
      </c>
      <c r="G23" s="30" t="s">
        <v>24</v>
      </c>
      <c r="H23" s="91" t="s">
        <v>57</v>
      </c>
      <c r="I23" s="14" t="s">
        <v>19</v>
      </c>
      <c r="J23" s="25" t="s">
        <v>12</v>
      </c>
      <c r="K23" s="14" t="s">
        <v>14</v>
      </c>
      <c r="L23" s="25" t="s">
        <v>17</v>
      </c>
      <c r="M23" s="25" t="s">
        <v>18</v>
      </c>
      <c r="N23" s="14" t="s">
        <v>21</v>
      </c>
    </row>
    <row r="24" spans="6:14" ht="15">
      <c r="F24" s="43"/>
      <c r="G24" s="70">
        <f>(43560*$D$23/C14)/((E14/100)*(F14/100))</f>
        <v>127.61064879630831</v>
      </c>
      <c r="H24" s="67">
        <f>G24*C14</f>
        <v>1756560.5806811838</v>
      </c>
      <c r="I24" s="50">
        <f>((G24/43560*($E$23/12))*453.6*200)</f>
        <v>166.10477012742612</v>
      </c>
      <c r="J24" s="76">
        <f>J14</f>
        <v>25</v>
      </c>
      <c r="K24" s="50">
        <f>J24*G24/50</f>
        <v>63.805324398154156</v>
      </c>
      <c r="L24" s="79">
        <f>L14</f>
        <v>6</v>
      </c>
      <c r="M24" s="38">
        <f>K24*L24</f>
        <v>382.83194638892496</v>
      </c>
      <c r="N24" s="35">
        <f>M24/J24</f>
        <v>15.313277855556999</v>
      </c>
    </row>
    <row r="25" spans="2:14" ht="15">
      <c r="B25" s="143"/>
      <c r="F25" s="42"/>
      <c r="G25" s="70">
        <f>(43560*$D$23/C15)/((E15/100)*(F15/100))</f>
        <v>94.92282318296535</v>
      </c>
      <c r="H25" s="67">
        <f>G25*C15</f>
        <v>1622136.1253736948</v>
      </c>
      <c r="I25" s="50">
        <f>((G25/43560*($E$23/12))*453.6*200)</f>
        <v>123.55656736625656</v>
      </c>
      <c r="J25" s="76">
        <f>J15</f>
        <v>25</v>
      </c>
      <c r="K25" s="50">
        <f>J25*G25/50</f>
        <v>47.46141159148267</v>
      </c>
      <c r="L25" s="79">
        <f>L15</f>
        <v>7.5</v>
      </c>
      <c r="M25" s="38">
        <f>K25*L25</f>
        <v>355.96058693612</v>
      </c>
      <c r="N25" s="35">
        <f>M25/J25</f>
        <v>14.238423477444801</v>
      </c>
    </row>
    <row r="26" spans="2:14" ht="15">
      <c r="B26" s="144"/>
      <c r="F26" s="43"/>
      <c r="G26" s="70">
        <f>(43560*$D$23/C16)/((E16/100)*(F16/100))</f>
        <v>107.30153156053197</v>
      </c>
      <c r="H26" s="67">
        <f>G26*C16</f>
        <v>1765432.0987654326</v>
      </c>
      <c r="I26" s="50">
        <f>((G26/43560*($E$23/12))*453.6*200)</f>
        <v>139.66934893209742</v>
      </c>
      <c r="J26" s="77">
        <f>J16</f>
        <v>25</v>
      </c>
      <c r="K26" s="50">
        <f>J26*G26/50</f>
        <v>53.650765780265985</v>
      </c>
      <c r="L26" s="79">
        <f>L16</f>
        <v>6</v>
      </c>
      <c r="M26" s="38">
        <f>K26*L26</f>
        <v>321.9045946815959</v>
      </c>
      <c r="N26" s="35">
        <f>M26/J26</f>
        <v>12.876183787263836</v>
      </c>
    </row>
    <row r="27" spans="6:14" ht="15.75" thickBot="1">
      <c r="F27" s="43"/>
      <c r="G27" s="71">
        <f>(43560*$D$23/C17)/((E17/100)*(F17/100))</f>
        <v>176.54872628118932</v>
      </c>
      <c r="H27" s="68">
        <f>G27*C17</f>
        <v>1712522.6449275364</v>
      </c>
      <c r="I27" s="53">
        <f>((G27/43560*($E$23/12))*453.6*200)</f>
        <v>229.805160242044</v>
      </c>
      <c r="J27" s="78">
        <f>J17</f>
        <v>25</v>
      </c>
      <c r="K27" s="53">
        <f>J27*G27/50</f>
        <v>88.27436314059464</v>
      </c>
      <c r="L27" s="80">
        <f>L17</f>
        <v>13</v>
      </c>
      <c r="M27" s="39">
        <f>K27*L27</f>
        <v>1147.5667208277305</v>
      </c>
      <c r="N27" s="36">
        <f>M27/J27</f>
        <v>45.90266883310922</v>
      </c>
    </row>
    <row r="28" spans="6:14" ht="15" thickBot="1">
      <c r="F28" s="18"/>
      <c r="G28" s="12"/>
      <c r="H28" s="12"/>
      <c r="I28" s="21" t="s">
        <v>13</v>
      </c>
      <c r="J28" s="54">
        <f>SUM(J24:J27)</f>
        <v>100</v>
      </c>
      <c r="K28" s="55">
        <f>SUM(K24:K27)</f>
        <v>253.19186491049743</v>
      </c>
      <c r="L28" s="37"/>
      <c r="M28" s="39">
        <f>SUM(M24:M27)</f>
        <v>2208.2638488343714</v>
      </c>
      <c r="N28" s="36">
        <f>M28/J28</f>
        <v>22.082638488343715</v>
      </c>
    </row>
    <row r="31" spans="3:5" ht="15">
      <c r="C31" s="82" t="s">
        <v>33</v>
      </c>
      <c r="E31" s="64"/>
    </row>
    <row r="32" spans="3:6" ht="15">
      <c r="C32" s="82" t="s">
        <v>32</v>
      </c>
      <c r="D32" s="145" t="s">
        <v>42</v>
      </c>
      <c r="E32" s="145"/>
      <c r="F32" s="145"/>
    </row>
    <row r="33" spans="3:6" ht="15">
      <c r="C33" s="93" t="s">
        <v>31</v>
      </c>
      <c r="D33" s="82" t="s">
        <v>39</v>
      </c>
      <c r="E33" s="82" t="s">
        <v>36</v>
      </c>
      <c r="F33" s="82" t="s">
        <v>40</v>
      </c>
    </row>
    <row r="34" spans="2:6" ht="14.25">
      <c r="B34" s="92">
        <f aca="true" t="shared" si="0" ref="B34:B44">C34/9</f>
        <v>19.444444444444443</v>
      </c>
      <c r="C34" s="86">
        <v>175</v>
      </c>
      <c r="D34" s="86">
        <v>1.189</v>
      </c>
      <c r="E34" s="86">
        <v>5.945</v>
      </c>
      <c r="F34" s="86">
        <v>11.891</v>
      </c>
    </row>
    <row r="35" spans="2:6" ht="14.25">
      <c r="B35" s="92">
        <f t="shared" si="0"/>
        <v>22.22222222222222</v>
      </c>
      <c r="C35" s="85">
        <v>200</v>
      </c>
      <c r="D35" s="86">
        <v>1.359</v>
      </c>
      <c r="E35" s="86">
        <v>6.798</v>
      </c>
      <c r="F35" s="86">
        <v>13.589</v>
      </c>
    </row>
    <row r="36" spans="2:6" ht="14.25">
      <c r="B36" s="92">
        <f t="shared" si="0"/>
        <v>25</v>
      </c>
      <c r="C36" s="85">
        <v>225</v>
      </c>
      <c r="D36" s="86">
        <v>1.529</v>
      </c>
      <c r="E36" s="86">
        <v>7.644</v>
      </c>
      <c r="F36" s="86">
        <v>15.288</v>
      </c>
    </row>
    <row r="37" spans="2:6" ht="14.25">
      <c r="B37" s="92">
        <f t="shared" si="0"/>
        <v>27.77777777777778</v>
      </c>
      <c r="C37" s="85">
        <v>250</v>
      </c>
      <c r="D37" s="86">
        <v>1.699</v>
      </c>
      <c r="E37" s="86">
        <v>8.493</v>
      </c>
      <c r="F37" s="86">
        <v>16.987</v>
      </c>
    </row>
    <row r="38" spans="2:6" ht="14.25">
      <c r="B38" s="92">
        <f t="shared" si="0"/>
        <v>30.555555555555557</v>
      </c>
      <c r="C38" s="85">
        <v>275</v>
      </c>
      <c r="D38" s="86">
        <v>1.869</v>
      </c>
      <c r="E38" s="86">
        <v>9.343</v>
      </c>
      <c r="F38" s="86">
        <v>18.685</v>
      </c>
    </row>
    <row r="39" spans="2:6" ht="14.25">
      <c r="B39" s="92">
        <f t="shared" si="0"/>
        <v>33.333333333333336</v>
      </c>
      <c r="C39" s="86">
        <v>300</v>
      </c>
      <c r="D39" s="86">
        <v>2.038</v>
      </c>
      <c r="E39" s="86">
        <v>10.192</v>
      </c>
      <c r="F39" s="86">
        <v>20.384</v>
      </c>
    </row>
    <row r="40" spans="2:6" ht="14.25">
      <c r="B40" s="92">
        <f t="shared" si="0"/>
        <v>36.111111111111114</v>
      </c>
      <c r="C40" s="86">
        <v>325</v>
      </c>
      <c r="D40" s="86">
        <v>2.208</v>
      </c>
      <c r="E40" s="86">
        <v>11.041</v>
      </c>
      <c r="F40" s="86">
        <v>22.083</v>
      </c>
    </row>
    <row r="41" spans="2:6" ht="14.25">
      <c r="B41" s="92">
        <f t="shared" si="0"/>
        <v>38.888888888888886</v>
      </c>
      <c r="C41" s="86">
        <v>350</v>
      </c>
      <c r="D41" s="86">
        <v>2.378</v>
      </c>
      <c r="E41" s="86">
        <v>11.891</v>
      </c>
      <c r="F41" s="86">
        <v>23.781</v>
      </c>
    </row>
    <row r="42" spans="2:6" ht="14.25">
      <c r="B42" s="92">
        <f t="shared" si="0"/>
        <v>41.666666666666664</v>
      </c>
      <c r="C42" s="86">
        <v>375</v>
      </c>
      <c r="D42" s="86">
        <v>2.548</v>
      </c>
      <c r="E42" s="86">
        <v>12.74</v>
      </c>
      <c r="F42" s="86">
        <v>25.48</v>
      </c>
    </row>
    <row r="43" spans="2:6" ht="14.25">
      <c r="B43" s="92">
        <f t="shared" si="0"/>
        <v>44.44444444444444</v>
      </c>
      <c r="C43" s="86">
        <v>400</v>
      </c>
      <c r="D43" s="86">
        <v>2.718</v>
      </c>
      <c r="E43" s="86">
        <v>13.589</v>
      </c>
      <c r="F43" s="86">
        <v>27.179</v>
      </c>
    </row>
    <row r="44" spans="2:6" ht="14.25">
      <c r="B44" s="92">
        <f t="shared" si="0"/>
        <v>47.22222222222222</v>
      </c>
      <c r="C44" s="86">
        <v>425</v>
      </c>
      <c r="D44" s="86">
        <v>2.888</v>
      </c>
      <c r="E44" s="86">
        <v>14.439</v>
      </c>
      <c r="F44" s="86">
        <v>28.877</v>
      </c>
    </row>
    <row r="46" ht="15">
      <c r="E46" s="81"/>
    </row>
    <row r="47" ht="15">
      <c r="E47" s="82"/>
    </row>
    <row r="48" ht="15">
      <c r="E48" s="82"/>
    </row>
    <row r="49" ht="15">
      <c r="E49" s="82"/>
    </row>
    <row r="50" ht="15">
      <c r="E50" s="82"/>
    </row>
    <row r="51" ht="15">
      <c r="E51" s="82"/>
    </row>
    <row r="52" ht="15">
      <c r="E52" s="81"/>
    </row>
    <row r="53" ht="15">
      <c r="E53" s="81"/>
    </row>
    <row r="54" ht="15">
      <c r="E54" s="81"/>
    </row>
    <row r="55" ht="15">
      <c r="E55" s="81"/>
    </row>
    <row r="56" ht="15">
      <c r="E56" s="81"/>
    </row>
  </sheetData>
  <mergeCells count="7">
    <mergeCell ref="D32:F32"/>
    <mergeCell ref="C21:D21"/>
    <mergeCell ref="B8:C8"/>
    <mergeCell ref="L11:N11"/>
    <mergeCell ref="L21:N21"/>
    <mergeCell ref="H8:H9"/>
    <mergeCell ref="B25:B26"/>
  </mergeCells>
  <printOptions/>
  <pageMargins left="0.95" right="0.58" top="1" bottom="1" header="0.5" footer="0.5"/>
  <pageSetup horizontalDpi="300" verticalDpi="300" orientation="landscape" r:id="rId2"/>
  <ignoredErrors>
    <ignoredError sqref="J24:J27" unlockedFormula="1"/>
    <ignoredError sqref="K27 K24:K26" formula="1"/>
    <ignoredError sqref="L24:L2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G. McNeill</dc:creator>
  <cp:keywords/>
  <dc:description/>
  <cp:lastModifiedBy>Sam McNeill</cp:lastModifiedBy>
  <cp:lastPrinted>2005-04-21T21:28:57Z</cp:lastPrinted>
  <dcterms:created xsi:type="dcterms:W3CDTF">1999-03-29T15:13:24Z</dcterms:created>
  <dcterms:modified xsi:type="dcterms:W3CDTF">2006-03-17T21:02:29Z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405679994</vt:i4>
  </property>
  <property fmtid="{D5CDD505-2E9C-101B-9397-08002B2CF9AE}" pid="3" name="_EmailSubject">
    <vt:lpwstr>Soybean Seed Calculator</vt:lpwstr>
  </property>
  <property fmtid="{D5CDD505-2E9C-101B-9397-08002B2CF9AE}" pid="4" name="_AuthorEmail">
    <vt:lpwstr>cdlee2@uky.edu</vt:lpwstr>
  </property>
  <property fmtid="{D5CDD505-2E9C-101B-9397-08002B2CF9AE}" pid="5" name="_AuthorEmailDisplayName">
    <vt:lpwstr>Chad Lee</vt:lpwstr>
  </property>
  <property fmtid="{D5CDD505-2E9C-101B-9397-08002B2CF9AE}" pid="6" name="_ReviewingToolsShownOnce">
    <vt:lpwstr/>
  </property>
</Properties>
</file>