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75" windowWidth="9045" windowHeight="6120" activeTab="0"/>
  </bookViews>
  <sheets>
    <sheet name="Shops" sheetId="1" r:id="rId1"/>
    <sheet name="Conveyors" sheetId="2" r:id="rId2"/>
    <sheet name="Sheet3" sheetId="3" r:id="rId3"/>
  </sheets>
  <definedNames>
    <definedName name="_xlnm.Print_Area" localSheetId="1">'Conveyors'!$B$1:$K$55</definedName>
  </definedNames>
  <calcPr fullCalcOnLoad="1"/>
</workbook>
</file>

<file path=xl/sharedStrings.xml><?xml version="1.0" encoding="utf-8"?>
<sst xmlns="http://schemas.openxmlformats.org/spreadsheetml/2006/main" count="154" uniqueCount="118">
  <si>
    <t>ft</t>
  </si>
  <si>
    <t>width</t>
  </si>
  <si>
    <t>length</t>
  </si>
  <si>
    <t>wall</t>
  </si>
  <si>
    <t>peak</t>
  </si>
  <si>
    <t>Total</t>
  </si>
  <si>
    <t>Roof slope:</t>
  </si>
  <si>
    <t>run</t>
  </si>
  <si>
    <t>rise</t>
  </si>
  <si>
    <t>slope</t>
  </si>
  <si>
    <t>Area (ft^2)</t>
  </si>
  <si>
    <t>Wall</t>
  </si>
  <si>
    <t>Roof</t>
  </si>
  <si>
    <t>Floor</t>
  </si>
  <si>
    <t>Height</t>
  </si>
  <si>
    <t>New</t>
  </si>
  <si>
    <t>Existing</t>
  </si>
  <si>
    <t>Insulation</t>
  </si>
  <si>
    <t>R-value</t>
  </si>
  <si>
    <t>A/R</t>
  </si>
  <si>
    <t>Del A/R</t>
  </si>
  <si>
    <t>Prepared by: Doug Overhults, PhD, PE; and Sam McNeill, PhD, PE</t>
  </si>
  <si>
    <t>Insulation data</t>
  </si>
  <si>
    <t>Del Q = Del A/R * HDD * 24</t>
  </si>
  <si>
    <t>MBtu/y</t>
  </si>
  <si>
    <t>HDD</t>
  </si>
  <si>
    <t>Del Q</t>
  </si>
  <si>
    <t>Del Fuel</t>
  </si>
  <si>
    <t>Efficiency</t>
  </si>
  <si>
    <t>%</t>
  </si>
  <si>
    <t>Btu/unit</t>
  </si>
  <si>
    <t>Fuel</t>
  </si>
  <si>
    <t>Fuel price</t>
  </si>
  <si>
    <t>$/unit</t>
  </si>
  <si>
    <t>~ Savings</t>
  </si>
  <si>
    <t>Energy savings calculator for farm shops</t>
  </si>
  <si>
    <t>unit/y</t>
  </si>
  <si>
    <t>Energy</t>
  </si>
  <si>
    <t>Unit</t>
  </si>
  <si>
    <t>LP gas</t>
  </si>
  <si>
    <t>Natural gas</t>
  </si>
  <si>
    <t>Oil</t>
  </si>
  <si>
    <t>gal</t>
  </si>
  <si>
    <t>cubic feet</t>
  </si>
  <si>
    <t>per yr</t>
  </si>
  <si>
    <t>Investment</t>
  </si>
  <si>
    <t>$</t>
  </si>
  <si>
    <t>Payback</t>
  </si>
  <si>
    <t>yrs</t>
  </si>
  <si>
    <t xml:space="preserve">  Biosystems and Agricultural Engineering Department</t>
  </si>
  <si>
    <t xml:space="preserve">  Extension Agricultural Engineers</t>
  </si>
  <si>
    <t xml:space="preserve">  University of Kentucky Research and Education Center</t>
  </si>
  <si>
    <t xml:space="preserve">  Princeton, KY 42445-0469</t>
  </si>
  <si>
    <t xml:space="preserve">  270-365-7541</t>
  </si>
  <si>
    <t xml:space="preserve">  doug.overhults@uky.edu or smcneill@uky.edu</t>
  </si>
  <si>
    <t>Building dimensions</t>
  </si>
  <si>
    <t>Heated</t>
  </si>
  <si>
    <t>space</t>
  </si>
  <si>
    <t>Space</t>
  </si>
  <si>
    <t>HDD = Heating Degree Days (Nov - Mar) [2 yr avg]</t>
  </si>
  <si>
    <t>Del Fuel = estimated fuel savings</t>
  </si>
  <si>
    <r>
      <t xml:space="preserve">Energy calculations </t>
    </r>
    <r>
      <rPr>
        <sz val="10"/>
        <rFont val="Arial"/>
        <family val="2"/>
      </rPr>
      <t>(amount, savings and payback)</t>
    </r>
  </si>
  <si>
    <t>System</t>
  </si>
  <si>
    <t>hp</t>
  </si>
  <si>
    <t>bu/h</t>
  </si>
  <si>
    <t>h</t>
  </si>
  <si>
    <t>Bucket elevator</t>
  </si>
  <si>
    <t>Pneumatic conveyor</t>
  </si>
  <si>
    <t>Description</t>
  </si>
  <si>
    <t>Grain handling equipment comparison</t>
  </si>
  <si>
    <t>hp-h</t>
  </si>
  <si>
    <t>kwh</t>
  </si>
  <si>
    <t>Electrical cost</t>
  </si>
  <si>
    <t>Annual capacity</t>
  </si>
  <si>
    <t>cents/kwh</t>
  </si>
  <si>
    <t>$/bu</t>
  </si>
  <si>
    <t>cents/bu</t>
  </si>
  <si>
    <t>$/y</t>
  </si>
  <si>
    <t>Difference</t>
  </si>
  <si>
    <t>Motor(s)</t>
  </si>
  <si>
    <t>Operating</t>
  </si>
  <si>
    <t>Handling</t>
  </si>
  <si>
    <t>time</t>
  </si>
  <si>
    <t>Energy required</t>
  </si>
  <si>
    <t>Annual Cost</t>
  </si>
  <si>
    <t>capacity</t>
  </si>
  <si>
    <t>Energy savings</t>
  </si>
  <si>
    <t xml:space="preserve">Initial </t>
  </si>
  <si>
    <t>cost</t>
  </si>
  <si>
    <t>Ownership and maintance costs</t>
  </si>
  <si>
    <t>Operating costs</t>
  </si>
  <si>
    <t>Expected</t>
  </si>
  <si>
    <t>life</t>
  </si>
  <si>
    <t>y</t>
  </si>
  <si>
    <t>Depreciation</t>
  </si>
  <si>
    <t>Salvage</t>
  </si>
  <si>
    <t>value</t>
  </si>
  <si>
    <t>Repairs</t>
  </si>
  <si>
    <t>Taxes,</t>
  </si>
  <si>
    <t>Prepared by: Sam McNeill, PhD, PE</t>
  </si>
  <si>
    <t xml:space="preserve">    Biosystems and Agricultural Engineering Department</t>
  </si>
  <si>
    <t xml:space="preserve">    University of Kentucky Research and Education Center</t>
  </si>
  <si>
    <t xml:space="preserve">    Princeton, KY 42445-0469</t>
  </si>
  <si>
    <t xml:space="preserve">    270-365-7541 x 213</t>
  </si>
  <si>
    <t xml:space="preserve">    smcneill@uky.edu</t>
  </si>
  <si>
    <t>Ins.,  Int.</t>
  </si>
  <si>
    <t>Ownership savings</t>
  </si>
  <si>
    <t>Energy cost savings</t>
  </si>
  <si>
    <t xml:space="preserve"> Total cost savings</t>
  </si>
  <si>
    <t>Beans</t>
  </si>
  <si>
    <t>Corn</t>
  </si>
  <si>
    <t>Acres</t>
  </si>
  <si>
    <t>Yield (bu/ac)</t>
  </si>
  <si>
    <t>Bushels</t>
  </si>
  <si>
    <t xml:space="preserve">    Extension Agricultural Engineer</t>
  </si>
  <si>
    <t>MBtu</t>
  </si>
  <si>
    <t>Transfers</t>
  </si>
  <si>
    <t>per 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</si>
</sst>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[$-409]dddd\,\ mmmm\ dd\,\ yyyy"/>
    <numFmt numFmtId="174" formatCode="[$-409]h:mm:ss\ AM/PM"/>
    <numFmt numFmtId="175" formatCode="#,##0.0"/>
    <numFmt numFmtId="176" formatCode="#,##0.000"/>
    <numFmt numFmtId="177" formatCode="#,##0.0000"/>
    <numFmt numFmtId="178" formatCode="#,##0.00000"/>
    <numFmt numFmtId="179" formatCode="_(* #,##0.0_);_(* \(#,##0.0\);_(* &quot;-&quot;??_);_(@_)"/>
    <numFmt numFmtId="180" formatCode="_(* #,##0_);_(* \(#,##0\);_(* &quot;-&quot;??_);_(@_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%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53" applyFont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right"/>
    </xf>
    <xf numFmtId="1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1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0" borderId="18" xfId="0" applyFont="1" applyFill="1" applyBorder="1" applyAlignment="1">
      <alignment horizontal="right"/>
    </xf>
    <xf numFmtId="1" fontId="0" fillId="0" borderId="10" xfId="0" applyNumberFormat="1" applyFont="1" applyBorder="1" applyAlignment="1" quotePrefix="1">
      <alignment/>
    </xf>
    <xf numFmtId="0" fontId="0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80" fontId="0" fillId="0" borderId="0" xfId="42" applyNumberFormat="1" applyFont="1" applyAlignment="1">
      <alignment horizontal="right"/>
    </xf>
    <xf numFmtId="180" fontId="0" fillId="0" borderId="11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2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23" xfId="0" applyFont="1" applyBorder="1" applyAlignment="1">
      <alignment horizontal="right"/>
    </xf>
    <xf numFmtId="1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/>
    </xf>
    <xf numFmtId="183" fontId="0" fillId="0" borderId="0" xfId="44" applyNumberFormat="1" applyFont="1" applyAlignment="1">
      <alignment/>
    </xf>
    <xf numFmtId="183" fontId="0" fillId="0" borderId="0" xfId="44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184" fontId="0" fillId="0" borderId="0" xfId="59" applyNumberFormat="1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0" fillId="0" borderId="14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41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83" fontId="0" fillId="0" borderId="20" xfId="44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67" fontId="0" fillId="0" borderId="12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175" fontId="0" fillId="0" borderId="0" xfId="5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8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44" fontId="41" fillId="0" borderId="0" xfId="44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8</xdr:col>
      <xdr:colOff>581025</xdr:colOff>
      <xdr:row>4</xdr:row>
      <xdr:rowOff>95250</xdr:rowOff>
    </xdr:to>
    <xdr:pic>
      <xdr:nvPicPr>
        <xdr:cNvPr id="1" name="Picture 194" descr="BiosysSig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48</xdr:row>
      <xdr:rowOff>123825</xdr:rowOff>
    </xdr:from>
    <xdr:to>
      <xdr:col>9</xdr:col>
      <xdr:colOff>438150</xdr:colOff>
      <xdr:row>50</xdr:row>
      <xdr:rowOff>95250</xdr:rowOff>
    </xdr:to>
    <xdr:pic>
      <xdr:nvPicPr>
        <xdr:cNvPr id="2" name="Picture 195" descr="CESfooter"/>
        <xdr:cNvPicPr preferRelativeResize="1">
          <a:picLocks noChangeAspect="1"/>
        </xdr:cNvPicPr>
      </xdr:nvPicPr>
      <xdr:blipFill>
        <a:blip r:embed="rId2"/>
        <a:srcRect l="6581" t="-3334" r="5296"/>
        <a:stretch>
          <a:fillRect/>
        </a:stretch>
      </xdr:blipFill>
      <xdr:spPr>
        <a:xfrm>
          <a:off x="257175" y="7896225"/>
          <a:ext cx="522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66675</xdr:rowOff>
    </xdr:from>
    <xdr:to>
      <xdr:col>9</xdr:col>
      <xdr:colOff>266700</xdr:colOff>
      <xdr:row>4</xdr:row>
      <xdr:rowOff>123825</xdr:rowOff>
    </xdr:to>
    <xdr:pic>
      <xdr:nvPicPr>
        <xdr:cNvPr id="1" name="Picture 194" descr="BiosysSig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142875</xdr:rowOff>
    </xdr:from>
    <xdr:to>
      <xdr:col>10</xdr:col>
      <xdr:colOff>19050</xdr:colOff>
      <xdr:row>54</xdr:row>
      <xdr:rowOff>114300</xdr:rowOff>
    </xdr:to>
    <xdr:pic>
      <xdr:nvPicPr>
        <xdr:cNvPr id="2" name="Picture 195" descr="CESfooter"/>
        <xdr:cNvPicPr preferRelativeResize="1">
          <a:picLocks noChangeAspect="1"/>
        </xdr:cNvPicPr>
      </xdr:nvPicPr>
      <xdr:blipFill>
        <a:blip r:embed="rId2"/>
        <a:srcRect l="6581" t="-3334" r="5296"/>
        <a:stretch>
          <a:fillRect/>
        </a:stretch>
      </xdr:blipFill>
      <xdr:spPr>
        <a:xfrm>
          <a:off x="800100" y="8562975"/>
          <a:ext cx="522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48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9.140625" style="0" customWidth="1"/>
    <col min="4" max="5" width="8.57421875" style="0" customWidth="1"/>
    <col min="6" max="7" width="9.140625" style="0" customWidth="1"/>
    <col min="10" max="10" width="9.140625" style="0" customWidth="1"/>
  </cols>
  <sheetData>
    <row r="7" ht="12.75">
      <c r="B7" s="11" t="s">
        <v>35</v>
      </c>
    </row>
    <row r="8" ht="12.75">
      <c r="B8" s="11"/>
    </row>
    <row r="9" ht="12.75">
      <c r="B9" s="11" t="s">
        <v>55</v>
      </c>
    </row>
    <row r="10" spans="3:6" ht="12.75">
      <c r="C10" s="2" t="s">
        <v>8</v>
      </c>
      <c r="D10" s="2" t="s">
        <v>7</v>
      </c>
      <c r="E10" s="3" t="s">
        <v>9</v>
      </c>
      <c r="F10" s="17"/>
    </row>
    <row r="11" spans="2:8" ht="12.75">
      <c r="B11" s="2" t="s">
        <v>6</v>
      </c>
      <c r="C11" s="90">
        <v>3</v>
      </c>
      <c r="D11">
        <v>12</v>
      </c>
      <c r="E11" s="9">
        <f>C11/D11</f>
        <v>0.25</v>
      </c>
      <c r="H11" s="2"/>
    </row>
    <row r="12" spans="2:11" ht="12.75">
      <c r="B12" s="23"/>
      <c r="C12" s="24"/>
      <c r="D12" s="25"/>
      <c r="E12" s="125" t="s">
        <v>14</v>
      </c>
      <c r="F12" s="126"/>
      <c r="G12" s="24"/>
      <c r="H12" s="26"/>
      <c r="I12" s="25"/>
      <c r="J12" s="20"/>
      <c r="K12" s="18"/>
    </row>
    <row r="13" spans="2:11" ht="12.75">
      <c r="B13" s="41" t="s">
        <v>56</v>
      </c>
      <c r="C13" s="19" t="s">
        <v>1</v>
      </c>
      <c r="D13" s="7" t="s">
        <v>2</v>
      </c>
      <c r="E13" s="19" t="s">
        <v>3</v>
      </c>
      <c r="F13" s="4" t="s">
        <v>4</v>
      </c>
      <c r="G13" s="127" t="s">
        <v>10</v>
      </c>
      <c r="H13" s="128"/>
      <c r="I13" s="129"/>
      <c r="J13" s="19"/>
      <c r="K13" s="18"/>
    </row>
    <row r="14" spans="2:11" ht="12.75">
      <c r="B14" s="69" t="s">
        <v>57</v>
      </c>
      <c r="C14" s="10" t="s">
        <v>0</v>
      </c>
      <c r="D14" s="8" t="s">
        <v>0</v>
      </c>
      <c r="E14" s="10" t="s">
        <v>0</v>
      </c>
      <c r="F14" s="6" t="s">
        <v>0</v>
      </c>
      <c r="G14" s="21" t="s">
        <v>13</v>
      </c>
      <c r="H14" s="5" t="s">
        <v>11</v>
      </c>
      <c r="I14" s="6" t="s">
        <v>12</v>
      </c>
      <c r="J14" s="3"/>
      <c r="K14" s="18"/>
    </row>
    <row r="15" spans="2:11" ht="12.75">
      <c r="B15" s="27" t="s">
        <v>16</v>
      </c>
      <c r="C15" s="114">
        <v>60</v>
      </c>
      <c r="D15" s="115">
        <v>150</v>
      </c>
      <c r="E15" s="114">
        <v>16</v>
      </c>
      <c r="F15" s="12">
        <f>C15/2*E$11+E15</f>
        <v>23.5</v>
      </c>
      <c r="G15" s="18">
        <f>C15*D15</f>
        <v>9000</v>
      </c>
      <c r="H15" s="18">
        <f>2*(C15+D15)*E15</f>
        <v>6720</v>
      </c>
      <c r="I15" s="22">
        <f>((F15-E15)^2+(C15/2)^2)^0.5*D15*2</f>
        <v>9276.987657639736</v>
      </c>
      <c r="J15" s="39"/>
      <c r="K15" s="18"/>
    </row>
    <row r="16" spans="2:11" ht="12.75">
      <c r="B16" s="28" t="s">
        <v>15</v>
      </c>
      <c r="C16" s="116">
        <v>60</v>
      </c>
      <c r="D16" s="117">
        <v>150</v>
      </c>
      <c r="E16" s="116">
        <v>12</v>
      </c>
      <c r="F16" s="13">
        <v>12</v>
      </c>
      <c r="G16" s="29">
        <f>C16*D16</f>
        <v>9000</v>
      </c>
      <c r="H16" s="29">
        <f>2*(C16+D16)*E16</f>
        <v>5040</v>
      </c>
      <c r="I16" s="30">
        <f>((F16-E16)^2+(C16/2)^2)^0.5*D16*2</f>
        <v>9000</v>
      </c>
      <c r="J16" s="31"/>
      <c r="K16" s="18"/>
    </row>
    <row r="17" spans="10:11" ht="12.75">
      <c r="J17" s="18"/>
      <c r="K17" s="18"/>
    </row>
    <row r="18" spans="2:7" ht="12.75">
      <c r="B18" s="11" t="s">
        <v>22</v>
      </c>
      <c r="C18" s="5"/>
      <c r="D18" s="29"/>
      <c r="E18" s="29"/>
      <c r="F18" s="29"/>
      <c r="G18" s="18"/>
    </row>
    <row r="19" spans="2:6" ht="12.75">
      <c r="B19" s="70" t="s">
        <v>56</v>
      </c>
      <c r="C19" s="33" t="s">
        <v>17</v>
      </c>
      <c r="D19" s="122" t="s">
        <v>19</v>
      </c>
      <c r="E19" s="123"/>
      <c r="F19" s="124"/>
    </row>
    <row r="20" spans="2:6" ht="12.75">
      <c r="B20" s="42" t="s">
        <v>58</v>
      </c>
      <c r="C20" s="34" t="s">
        <v>18</v>
      </c>
      <c r="D20" s="5" t="s">
        <v>11</v>
      </c>
      <c r="E20" s="5" t="s">
        <v>12</v>
      </c>
      <c r="F20" s="35" t="s">
        <v>5</v>
      </c>
    </row>
    <row r="21" spans="2:6" ht="12.75">
      <c r="B21" s="27" t="s">
        <v>16</v>
      </c>
      <c r="C21" s="118">
        <f>I15/1546</f>
        <v>6.000638847114965</v>
      </c>
      <c r="D21" s="1">
        <f>H15/C21</f>
        <v>1119.88076123443</v>
      </c>
      <c r="E21">
        <f>I15/C21</f>
        <v>1546</v>
      </c>
      <c r="F21" s="22">
        <f>D21+E21</f>
        <v>2665.88076123443</v>
      </c>
    </row>
    <row r="22" spans="2:6" ht="12.75">
      <c r="B22" s="28" t="s">
        <v>15</v>
      </c>
      <c r="C22" s="119">
        <f>I16/473</f>
        <v>19.027484143763214</v>
      </c>
      <c r="D22" s="32">
        <f>H16/C21</f>
        <v>839.9105709258225</v>
      </c>
      <c r="E22" s="29">
        <f>I16/C22</f>
        <v>473</v>
      </c>
      <c r="F22" s="30">
        <f>D22+E22</f>
        <v>1312.9105709258224</v>
      </c>
    </row>
    <row r="23" spans="3:6" ht="12.75">
      <c r="C23" s="38" t="s">
        <v>20</v>
      </c>
      <c r="D23" s="36">
        <f>D21-D22</f>
        <v>279.9701903086076</v>
      </c>
      <c r="E23" s="36">
        <f>E21-E22</f>
        <v>1073</v>
      </c>
      <c r="F23" s="37">
        <f>F21-F22</f>
        <v>1352.9701903086075</v>
      </c>
    </row>
    <row r="24" spans="2:5" ht="12.75">
      <c r="B24" s="3"/>
      <c r="C24" s="31"/>
      <c r="D24" s="31"/>
      <c r="E24" s="31"/>
    </row>
    <row r="25" spans="2:5" ht="12.75">
      <c r="B25" s="52" t="s">
        <v>61</v>
      </c>
      <c r="C25" s="31"/>
      <c r="D25" s="31"/>
      <c r="E25" s="31"/>
    </row>
    <row r="26" spans="2:5" ht="12.75">
      <c r="B26" s="52"/>
      <c r="C26" s="31"/>
      <c r="D26" s="31"/>
      <c r="E26" s="31"/>
    </row>
    <row r="27" spans="2:5" ht="12.75">
      <c r="B27" s="44" t="s">
        <v>59</v>
      </c>
      <c r="C27" s="31"/>
      <c r="D27" s="31"/>
      <c r="E27" s="31"/>
    </row>
    <row r="28" spans="2:4" ht="12.75">
      <c r="B28" s="43" t="s">
        <v>23</v>
      </c>
      <c r="C28" s="31"/>
      <c r="D28" s="31"/>
    </row>
    <row r="29" spans="2:4" ht="12.75">
      <c r="B29" s="43" t="s">
        <v>60</v>
      </c>
      <c r="C29" s="31"/>
      <c r="D29" s="31"/>
    </row>
    <row r="30" spans="2:4" ht="12.75">
      <c r="B30" s="43"/>
      <c r="C30" s="31"/>
      <c r="D30" s="31"/>
    </row>
    <row r="31" spans="2:4" ht="12.75">
      <c r="B31" s="43"/>
      <c r="C31" s="31"/>
      <c r="D31" s="31"/>
    </row>
    <row r="32" spans="2:5" ht="12.75">
      <c r="B32" s="45" t="s">
        <v>25</v>
      </c>
      <c r="C32" s="24">
        <v>3700</v>
      </c>
      <c r="D32" s="46"/>
      <c r="E32" s="31"/>
    </row>
    <row r="33" spans="2:8" ht="12.75">
      <c r="B33" s="47" t="s">
        <v>26</v>
      </c>
      <c r="C33" s="16">
        <f>F23*C32*24/1000000</f>
        <v>120.14375289940435</v>
      </c>
      <c r="D33" s="48" t="s">
        <v>24</v>
      </c>
      <c r="E33" s="31"/>
      <c r="F33" s="53" t="s">
        <v>31</v>
      </c>
      <c r="G33" s="54" t="s">
        <v>37</v>
      </c>
      <c r="H33" s="56" t="s">
        <v>38</v>
      </c>
    </row>
    <row r="34" spans="2:8" ht="12.75">
      <c r="B34" s="49" t="s">
        <v>31</v>
      </c>
      <c r="C34" s="120">
        <v>92000</v>
      </c>
      <c r="D34" s="48" t="s">
        <v>30</v>
      </c>
      <c r="E34" s="31"/>
      <c r="F34" s="59" t="s">
        <v>39</v>
      </c>
      <c r="G34" s="57">
        <v>92000</v>
      </c>
      <c r="H34" s="40" t="s">
        <v>42</v>
      </c>
    </row>
    <row r="35" spans="2:8" ht="12.75">
      <c r="B35" s="49" t="s">
        <v>28</v>
      </c>
      <c r="C35" s="31">
        <v>80</v>
      </c>
      <c r="D35" s="50" t="s">
        <v>29</v>
      </c>
      <c r="E35" s="31"/>
      <c r="F35" s="59" t="s">
        <v>40</v>
      </c>
      <c r="G35" s="57">
        <v>1000</v>
      </c>
      <c r="H35" s="40" t="s">
        <v>43</v>
      </c>
    </row>
    <row r="36" spans="2:8" ht="12.75">
      <c r="B36" s="47" t="s">
        <v>27</v>
      </c>
      <c r="C36" s="31">
        <f>C33*1000000/(C34*C35/100)</f>
        <v>1632.3879470027764</v>
      </c>
      <c r="D36" s="48" t="s">
        <v>36</v>
      </c>
      <c r="E36" s="31"/>
      <c r="F36" s="60" t="s">
        <v>41</v>
      </c>
      <c r="G36" s="58">
        <v>110000</v>
      </c>
      <c r="H36" s="55" t="s">
        <v>42</v>
      </c>
    </row>
    <row r="37" spans="2:5" ht="12.75">
      <c r="B37" s="47" t="s">
        <v>32</v>
      </c>
      <c r="C37" s="121">
        <v>1.5</v>
      </c>
      <c r="D37" s="48" t="s">
        <v>33</v>
      </c>
      <c r="E37" s="31"/>
    </row>
    <row r="38" spans="2:5" ht="12.75">
      <c r="B38" s="51" t="s">
        <v>34</v>
      </c>
      <c r="C38" s="61">
        <f>C36*C37</f>
        <v>2448.5819205041644</v>
      </c>
      <c r="D38" s="62" t="s">
        <v>44</v>
      </c>
      <c r="E38" s="31"/>
    </row>
    <row r="39" spans="2:5" ht="12.75">
      <c r="B39" s="64" t="s">
        <v>45</v>
      </c>
      <c r="C39" s="63">
        <v>20000</v>
      </c>
      <c r="D39" s="65" t="s">
        <v>46</v>
      </c>
      <c r="E39" s="31"/>
    </row>
    <row r="40" spans="2:5" ht="12.75">
      <c r="B40" s="66" t="s">
        <v>47</v>
      </c>
      <c r="C40" s="67">
        <f>C39/C38</f>
        <v>8.167993005470688</v>
      </c>
      <c r="D40" s="62" t="s">
        <v>48</v>
      </c>
      <c r="E40" s="31"/>
    </row>
    <row r="41" spans="2:5" ht="12.75">
      <c r="B41" s="3"/>
      <c r="C41" s="31"/>
      <c r="D41" s="31"/>
      <c r="E41" s="31"/>
    </row>
    <row r="42" spans="2:3" ht="12.75">
      <c r="B42" s="14" t="s">
        <v>21</v>
      </c>
      <c r="C42" s="14"/>
    </row>
    <row r="43" spans="2:3" ht="12.75">
      <c r="B43" s="14"/>
      <c r="C43" s="68" t="s">
        <v>50</v>
      </c>
    </row>
    <row r="44" spans="2:3" ht="12.75">
      <c r="B44" s="14"/>
      <c r="C44" s="68" t="s">
        <v>49</v>
      </c>
    </row>
    <row r="45" spans="2:3" ht="12.75">
      <c r="B45" s="14"/>
      <c r="C45" s="68" t="s">
        <v>51</v>
      </c>
    </row>
    <row r="46" spans="2:3" ht="12.75">
      <c r="B46" s="14"/>
      <c r="C46" s="68" t="s">
        <v>52</v>
      </c>
    </row>
    <row r="47" spans="2:3" ht="12.75">
      <c r="B47" s="14"/>
      <c r="C47" s="68" t="s">
        <v>53</v>
      </c>
    </row>
    <row r="48" spans="2:3" ht="12.75">
      <c r="B48" s="14"/>
      <c r="C48" s="15" t="s">
        <v>54</v>
      </c>
    </row>
  </sheetData>
  <sheetProtection/>
  <mergeCells count="3">
    <mergeCell ref="D19:F19"/>
    <mergeCell ref="E12:F12"/>
    <mergeCell ref="G13:I13"/>
  </mergeCells>
  <hyperlinks>
    <hyperlink ref="C48" r:id="rId1" display="smcneill@uky.edu"/>
  </hyperlinks>
  <printOptions/>
  <pageMargins left="0.97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L5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3" max="3" width="18.140625" style="0" customWidth="1"/>
    <col min="4" max="4" width="9.140625" style="0" customWidth="1"/>
    <col min="5" max="5" width="8.140625" style="0" customWidth="1"/>
    <col min="6" max="6" width="8.28125" style="0" customWidth="1"/>
    <col min="7" max="7" width="9.140625" style="0" customWidth="1"/>
    <col min="8" max="8" width="8.00390625" style="0" customWidth="1"/>
    <col min="9" max="9" width="8.7109375" style="0" customWidth="1"/>
    <col min="10" max="11" width="8.57421875" style="0" customWidth="1"/>
  </cols>
  <sheetData>
    <row r="7" spans="2:3" ht="12.75">
      <c r="B7" s="11" t="s">
        <v>69</v>
      </c>
      <c r="C7" s="40"/>
    </row>
    <row r="8" spans="2:3" ht="12.75">
      <c r="B8" s="11"/>
      <c r="C8" s="40"/>
    </row>
    <row r="9" spans="2:5" ht="12.75">
      <c r="B9" s="11"/>
      <c r="C9" s="71" t="s">
        <v>72</v>
      </c>
      <c r="D9" s="90">
        <v>10</v>
      </c>
      <c r="E9" s="40" t="s">
        <v>74</v>
      </c>
    </row>
    <row r="10" spans="2:3" ht="12.75">
      <c r="B10" s="11"/>
      <c r="C10" s="40"/>
    </row>
    <row r="11" spans="2:8" ht="12.75">
      <c r="B11" s="40"/>
      <c r="C11" s="71" t="s">
        <v>73</v>
      </c>
      <c r="G11" s="109" t="s">
        <v>116</v>
      </c>
      <c r="H11" s="109" t="s">
        <v>113</v>
      </c>
    </row>
    <row r="12" spans="2:8" ht="12.75">
      <c r="B12" s="40"/>
      <c r="C12" s="112"/>
      <c r="D12" s="5" t="s">
        <v>110</v>
      </c>
      <c r="E12" s="5" t="s">
        <v>109</v>
      </c>
      <c r="F12" s="5" t="s">
        <v>5</v>
      </c>
      <c r="G12" s="113" t="s">
        <v>117</v>
      </c>
      <c r="H12" s="113" t="s">
        <v>117</v>
      </c>
    </row>
    <row r="13" spans="2:5" ht="12.75">
      <c r="B13" s="40"/>
      <c r="C13" s="73" t="s">
        <v>111</v>
      </c>
      <c r="D13" s="90">
        <v>750</v>
      </c>
      <c r="E13" s="90">
        <v>750</v>
      </c>
    </row>
    <row r="14" spans="2:5" ht="12.75">
      <c r="B14" s="40"/>
      <c r="C14" s="73" t="s">
        <v>112</v>
      </c>
      <c r="D14" s="90">
        <v>150</v>
      </c>
      <c r="E14" s="90">
        <v>50</v>
      </c>
    </row>
    <row r="15" spans="2:8" ht="12.75">
      <c r="B15" s="40"/>
      <c r="C15" s="73" t="s">
        <v>113</v>
      </c>
      <c r="D15" s="104">
        <f>D13*D14</f>
        <v>112500</v>
      </c>
      <c r="E15" s="104">
        <f>E13*E14</f>
        <v>37500</v>
      </c>
      <c r="F15" s="108">
        <f>SUM(D15:E15)</f>
        <v>150000</v>
      </c>
      <c r="G15">
        <v>2</v>
      </c>
      <c r="H15" s="104">
        <f>F15*G15</f>
        <v>300000</v>
      </c>
    </row>
    <row r="16" spans="2:3" ht="12.75">
      <c r="B16" s="40"/>
      <c r="C16" s="40"/>
    </row>
    <row r="17" spans="3:5" ht="12.75">
      <c r="C17" s="71"/>
      <c r="D17" s="90"/>
      <c r="E17" s="40"/>
    </row>
    <row r="18" spans="3:11" ht="12.75">
      <c r="C18" s="71"/>
      <c r="D18" s="132" t="s">
        <v>89</v>
      </c>
      <c r="E18" s="133"/>
      <c r="F18" s="133"/>
      <c r="G18" s="133"/>
      <c r="H18" s="133"/>
      <c r="I18" s="133"/>
      <c r="J18" s="133"/>
      <c r="K18" s="134"/>
    </row>
    <row r="19" spans="3:11" ht="12.75">
      <c r="C19" s="73"/>
      <c r="D19" s="71" t="s">
        <v>87</v>
      </c>
      <c r="E19" s="71" t="s">
        <v>91</v>
      </c>
      <c r="F19" s="71" t="s">
        <v>95</v>
      </c>
      <c r="G19" s="71"/>
      <c r="I19" s="87" t="s">
        <v>98</v>
      </c>
      <c r="K19" s="74"/>
    </row>
    <row r="20" spans="3:11" ht="12.75">
      <c r="C20" s="53"/>
      <c r="D20" s="71" t="s">
        <v>88</v>
      </c>
      <c r="E20" s="71" t="s">
        <v>92</v>
      </c>
      <c r="F20" s="71" t="s">
        <v>96</v>
      </c>
      <c r="G20" s="93" t="s">
        <v>94</v>
      </c>
      <c r="H20" s="87" t="s">
        <v>97</v>
      </c>
      <c r="I20" s="87" t="s">
        <v>105</v>
      </c>
      <c r="K20" s="74"/>
    </row>
    <row r="21" spans="2:11" ht="12.75">
      <c r="B21" s="99" t="s">
        <v>62</v>
      </c>
      <c r="C21" s="79" t="s">
        <v>68</v>
      </c>
      <c r="D21" s="92" t="s">
        <v>46</v>
      </c>
      <c r="E21" s="54" t="s">
        <v>93</v>
      </c>
      <c r="F21" s="54" t="s">
        <v>46</v>
      </c>
      <c r="G21" s="54" t="s">
        <v>46</v>
      </c>
      <c r="H21" s="54" t="s">
        <v>29</v>
      </c>
      <c r="I21" s="54" t="s">
        <v>29</v>
      </c>
      <c r="J21" s="54" t="s">
        <v>77</v>
      </c>
      <c r="K21" s="53" t="s">
        <v>75</v>
      </c>
    </row>
    <row r="22" spans="2:12" ht="12.75">
      <c r="B22" s="47" t="s">
        <v>16</v>
      </c>
      <c r="C22" s="73" t="s">
        <v>67</v>
      </c>
      <c r="D22" s="89">
        <v>40000</v>
      </c>
      <c r="E22">
        <v>10</v>
      </c>
      <c r="F22">
        <f>D22/10</f>
        <v>4000</v>
      </c>
      <c r="G22">
        <f>(D22-F22)/E22</f>
        <v>3600</v>
      </c>
      <c r="H22">
        <v>5</v>
      </c>
      <c r="I22">
        <v>10</v>
      </c>
      <c r="J22">
        <f>G22+(H22+I22)/100*G22</f>
        <v>4140</v>
      </c>
      <c r="K22" s="74">
        <f>J22/H15</f>
        <v>0.0138</v>
      </c>
      <c r="L22" s="94"/>
    </row>
    <row r="23" spans="2:12" ht="12.75">
      <c r="B23" s="51" t="s">
        <v>15</v>
      </c>
      <c r="C23" s="53" t="s">
        <v>66</v>
      </c>
      <c r="D23" s="103">
        <v>60000</v>
      </c>
      <c r="E23" s="29">
        <v>20</v>
      </c>
      <c r="F23" s="29">
        <f>D23/10</f>
        <v>6000</v>
      </c>
      <c r="G23" s="29">
        <f>(D23-F23)/E23</f>
        <v>2700</v>
      </c>
      <c r="H23" s="29">
        <v>2</v>
      </c>
      <c r="I23" s="29">
        <v>10</v>
      </c>
      <c r="J23" s="29">
        <f>G23+(H23+I23)/100*G23</f>
        <v>3024</v>
      </c>
      <c r="K23" s="105">
        <f>J23/H15</f>
        <v>0.01008</v>
      </c>
      <c r="L23" s="94"/>
    </row>
    <row r="24" spans="2:11" ht="12.75">
      <c r="B24" s="99" t="s">
        <v>78</v>
      </c>
      <c r="C24" s="80"/>
      <c r="D24" s="95"/>
      <c r="E24" s="96"/>
      <c r="F24" s="81"/>
      <c r="G24" s="81"/>
      <c r="H24" s="81"/>
      <c r="I24" s="81"/>
      <c r="J24" s="81">
        <f>J22-J23</f>
        <v>1116</v>
      </c>
      <c r="K24" s="111">
        <f>K22-K23</f>
        <v>0.0037199999999999993</v>
      </c>
    </row>
    <row r="25" spans="2:11" ht="12.75">
      <c r="B25" s="75"/>
      <c r="C25" s="18"/>
      <c r="D25" s="97"/>
      <c r="E25" s="98"/>
      <c r="F25" s="18"/>
      <c r="G25" s="18"/>
      <c r="H25" s="18"/>
      <c r="I25" s="18"/>
      <c r="J25" s="18"/>
      <c r="K25" s="18"/>
    </row>
    <row r="26" spans="2:5" ht="12.75">
      <c r="B26" s="75"/>
      <c r="C26" s="18"/>
      <c r="D26" s="90"/>
      <c r="E26" s="40"/>
    </row>
    <row r="27" spans="2:10" ht="12.75">
      <c r="B27" s="18"/>
      <c r="C27" s="75"/>
      <c r="D27" s="132" t="s">
        <v>90</v>
      </c>
      <c r="E27" s="133"/>
      <c r="F27" s="133"/>
      <c r="G27" s="133"/>
      <c r="H27" s="133"/>
      <c r="I27" s="133"/>
      <c r="J27" s="134"/>
    </row>
    <row r="28" spans="2:10" ht="12.75">
      <c r="B28" s="18"/>
      <c r="C28" s="73"/>
      <c r="E28" s="71" t="s">
        <v>81</v>
      </c>
      <c r="F28" s="71" t="s">
        <v>80</v>
      </c>
      <c r="I28" s="18"/>
      <c r="J28" s="74"/>
    </row>
    <row r="29" spans="2:10" ht="12.75">
      <c r="B29" s="18"/>
      <c r="C29" s="74"/>
      <c r="D29" s="76" t="s">
        <v>79</v>
      </c>
      <c r="E29" s="75" t="s">
        <v>85</v>
      </c>
      <c r="F29" s="75" t="s">
        <v>82</v>
      </c>
      <c r="G29" s="130" t="s">
        <v>83</v>
      </c>
      <c r="H29" s="130"/>
      <c r="I29" s="130" t="s">
        <v>84</v>
      </c>
      <c r="J29" s="131"/>
    </row>
    <row r="30" spans="2:10" ht="12.75">
      <c r="B30" s="99" t="s">
        <v>62</v>
      </c>
      <c r="C30" s="79" t="s">
        <v>68</v>
      </c>
      <c r="D30" s="54" t="s">
        <v>63</v>
      </c>
      <c r="E30" s="54" t="s">
        <v>64</v>
      </c>
      <c r="F30" s="54" t="s">
        <v>65</v>
      </c>
      <c r="G30" s="54" t="s">
        <v>70</v>
      </c>
      <c r="H30" s="54" t="s">
        <v>71</v>
      </c>
      <c r="I30" s="54" t="s">
        <v>77</v>
      </c>
      <c r="J30" s="53" t="s">
        <v>76</v>
      </c>
    </row>
    <row r="31" spans="2:10" ht="12.75">
      <c r="B31" s="47" t="s">
        <v>16</v>
      </c>
      <c r="C31" s="73" t="s">
        <v>67</v>
      </c>
      <c r="D31" s="90">
        <v>21</v>
      </c>
      <c r="E31" s="90">
        <v>440</v>
      </c>
      <c r="F31" s="72">
        <f>H15/E31</f>
        <v>681.8181818181819</v>
      </c>
      <c r="G31" s="104">
        <f>D31*F31</f>
        <v>14318.18181818182</v>
      </c>
      <c r="H31" s="104">
        <f>G31</f>
        <v>14318.18181818182</v>
      </c>
      <c r="I31" s="1">
        <f>H31*D9/100</f>
        <v>1431.818181818182</v>
      </c>
      <c r="J31" s="77">
        <f>I31*100/H15</f>
        <v>0.47727272727272735</v>
      </c>
    </row>
    <row r="32" spans="2:10" ht="12.75">
      <c r="B32" s="51" t="s">
        <v>15</v>
      </c>
      <c r="C32" s="53" t="s">
        <v>66</v>
      </c>
      <c r="D32" s="91">
        <v>15</v>
      </c>
      <c r="E32" s="91">
        <v>2500</v>
      </c>
      <c r="F32" s="67">
        <f>H15/E32</f>
        <v>120</v>
      </c>
      <c r="G32" s="32">
        <f>D32*F32</f>
        <v>1800</v>
      </c>
      <c r="H32" s="32">
        <f>G32</f>
        <v>1800</v>
      </c>
      <c r="I32" s="32">
        <f>H32*D9/100</f>
        <v>180</v>
      </c>
      <c r="J32" s="78">
        <f>I32*100/H15</f>
        <v>0.06</v>
      </c>
    </row>
    <row r="33" spans="2:10" ht="12.75">
      <c r="B33" s="99" t="s">
        <v>78</v>
      </c>
      <c r="C33" s="80"/>
      <c r="D33" s="81"/>
      <c r="E33" s="81"/>
      <c r="F33" s="81"/>
      <c r="G33" s="81"/>
      <c r="H33" s="106">
        <f>H31-H32</f>
        <v>12518.18181818182</v>
      </c>
      <c r="I33" s="36">
        <f>I31-I32</f>
        <v>1251.818181818182</v>
      </c>
      <c r="J33" s="82">
        <f>J31-J32</f>
        <v>0.41727272727272735</v>
      </c>
    </row>
    <row r="34" spans="2:10" ht="12.75">
      <c r="B34" s="75"/>
      <c r="C34" s="18"/>
      <c r="D34" s="18"/>
      <c r="E34" s="18"/>
      <c r="F34" s="18"/>
      <c r="G34" s="18"/>
      <c r="H34" s="18"/>
      <c r="I34" s="85"/>
      <c r="J34" s="86"/>
    </row>
    <row r="36" spans="3:4" ht="12.75">
      <c r="C36" s="87" t="s">
        <v>86</v>
      </c>
      <c r="D36" s="88">
        <f>H33/H31</f>
        <v>0.8742857142857143</v>
      </c>
    </row>
    <row r="37" spans="3:5" ht="12.75">
      <c r="C37" s="87" t="s">
        <v>86</v>
      </c>
      <c r="D37" s="107">
        <f>H33*3413/1000000</f>
        <v>42.72455454545455</v>
      </c>
      <c r="E37" s="40" t="s">
        <v>115</v>
      </c>
    </row>
    <row r="38" spans="3:5" ht="12.75">
      <c r="C38" s="2" t="s">
        <v>106</v>
      </c>
      <c r="D38" s="83">
        <f>J24</f>
        <v>1116</v>
      </c>
      <c r="E38" s="44" t="s">
        <v>44</v>
      </c>
    </row>
    <row r="39" spans="3:5" ht="12.75">
      <c r="C39" s="2" t="s">
        <v>107</v>
      </c>
      <c r="D39" s="83">
        <f>I33</f>
        <v>1251.818181818182</v>
      </c>
      <c r="E39" s="44" t="s">
        <v>44</v>
      </c>
    </row>
    <row r="40" spans="3:5" ht="12.75">
      <c r="C40" s="100" t="s">
        <v>108</v>
      </c>
      <c r="D40" s="101">
        <f>D38+D39</f>
        <v>2367.818181818182</v>
      </c>
      <c r="E40" s="102" t="s">
        <v>44</v>
      </c>
    </row>
    <row r="41" spans="3:5" ht="12.75">
      <c r="C41" s="75" t="s">
        <v>45</v>
      </c>
      <c r="D41" s="84">
        <f>D23</f>
        <v>60000</v>
      </c>
      <c r="E41" s="44" t="s">
        <v>46</v>
      </c>
    </row>
    <row r="42" spans="3:5" ht="12.75">
      <c r="C42" s="75" t="s">
        <v>47</v>
      </c>
      <c r="D42" s="110">
        <f>D41/D40</f>
        <v>25.339783460032248</v>
      </c>
      <c r="E42" s="44" t="s">
        <v>48</v>
      </c>
    </row>
    <row r="45" spans="2:3" ht="12.75">
      <c r="B45" s="68" t="s">
        <v>99</v>
      </c>
      <c r="C45" s="14"/>
    </row>
    <row r="46" spans="2:3" ht="12.75">
      <c r="B46" s="14"/>
      <c r="C46" s="68" t="s">
        <v>114</v>
      </c>
    </row>
    <row r="47" spans="2:3" ht="12.75">
      <c r="B47" s="14"/>
      <c r="C47" s="68" t="s">
        <v>100</v>
      </c>
    </row>
    <row r="48" spans="2:3" ht="12.75">
      <c r="B48" s="14"/>
      <c r="C48" s="68" t="s">
        <v>101</v>
      </c>
    </row>
    <row r="49" spans="2:3" ht="12.75">
      <c r="B49" s="14"/>
      <c r="C49" s="68" t="s">
        <v>102</v>
      </c>
    </row>
    <row r="50" spans="2:3" ht="12.75">
      <c r="B50" s="14"/>
      <c r="C50" s="68" t="s">
        <v>103</v>
      </c>
    </row>
    <row r="51" spans="2:3" ht="12.75">
      <c r="B51" s="14"/>
      <c r="C51" s="15" t="s">
        <v>104</v>
      </c>
    </row>
  </sheetData>
  <sheetProtection/>
  <mergeCells count="4">
    <mergeCell ref="G29:H29"/>
    <mergeCell ref="I29:J29"/>
    <mergeCell ref="D27:J27"/>
    <mergeCell ref="D18:K18"/>
  </mergeCells>
  <hyperlinks>
    <hyperlink ref="C51" r:id="rId1" display="smcneill@uky.edu"/>
  </hyperlinks>
  <printOptions/>
  <pageMargins left="0.56" right="0.55" top="0.75" bottom="0.75" header="0.3" footer="0.3"/>
  <pageSetup horizontalDpi="600" verticalDpi="600" orientation="portrait" paperSize="16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Donnie Stamper</cp:lastModifiedBy>
  <cp:lastPrinted>2010-12-03T20:29:43Z</cp:lastPrinted>
  <dcterms:created xsi:type="dcterms:W3CDTF">2003-06-10T15:45:39Z</dcterms:created>
  <dcterms:modified xsi:type="dcterms:W3CDTF">2015-03-16T12:55:12Z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