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luky-my.sharepoint.com/personal/kpe226_uky_edu/Documents/My work files/BAE Dept Website Social Media/"/>
    </mc:Choice>
  </mc:AlternateContent>
  <bookViews>
    <workbookView xWindow="-105" yWindow="-105" windowWidth="21825" windowHeight="14025"/>
  </bookViews>
  <sheets>
    <sheet name="Main" sheetId="4" r:id="rId1"/>
    <sheet name="Drying" sheetId="8" r:id="rId2"/>
    <sheet name="Depreciation" sheetId="5" r:id="rId3"/>
    <sheet name="Labor" sheetId="6" r:id="rId4"/>
    <sheet name="Trucking" sheetId="7" r:id="rId5"/>
    <sheet name="Dryer Eff." sheetId="9" r:id="rId6"/>
    <sheet name="Compatibility Report" sheetId="10" r:id="rId7"/>
  </sheets>
  <externalReferences>
    <externalReference r:id="rId8"/>
    <externalReference r:id="rId9"/>
  </externalReferences>
  <definedNames>
    <definedName name="_xlnm.Print_Area" localSheetId="0">Main!$B$10:$J$60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2" i="4" l="1"/>
  <c r="P41" i="4"/>
  <c r="P40" i="4"/>
  <c r="P39" i="4"/>
  <c r="P38" i="4"/>
  <c r="D13" i="4" l="1"/>
  <c r="Q38" i="4" s="1"/>
  <c r="T28" i="4"/>
  <c r="S28" i="4"/>
  <c r="R28" i="4"/>
  <c r="B42" i="4"/>
  <c r="C42" i="4" s="1"/>
  <c r="B41" i="4"/>
  <c r="B51" i="4" s="1"/>
  <c r="B40" i="4"/>
  <c r="C40" i="4" s="1"/>
  <c r="B39" i="4"/>
  <c r="C39" i="4" s="1"/>
  <c r="B38" i="4"/>
  <c r="B48" i="4" s="1"/>
  <c r="Q5" i="4"/>
  <c r="Q6"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B8" i="5"/>
  <c r="B4" i="5"/>
  <c r="K26" i="9"/>
  <c r="J26" i="9"/>
  <c r="I26" i="9"/>
  <c r="H26" i="9"/>
  <c r="G26" i="9"/>
  <c r="F26" i="9"/>
  <c r="E26" i="9"/>
  <c r="D26" i="9"/>
  <c r="L26" i="9"/>
  <c r="M26" i="9"/>
  <c r="N26" i="9"/>
  <c r="O26" i="9"/>
  <c r="P26" i="9"/>
  <c r="D11" i="8"/>
  <c r="E31" i="9"/>
  <c r="E46" i="9" s="1"/>
  <c r="K29" i="9"/>
  <c r="K23" i="9"/>
  <c r="K24" i="9"/>
  <c r="K40" i="9" s="1"/>
  <c r="K25" i="9"/>
  <c r="K27" i="9"/>
  <c r="K42" i="9" s="1"/>
  <c r="K28" i="9"/>
  <c r="K43" i="9"/>
  <c r="K44" i="9"/>
  <c r="K39" i="9"/>
  <c r="D27" i="9"/>
  <c r="D42" i="9" s="1"/>
  <c r="G4" i="8"/>
  <c r="G6" i="8"/>
  <c r="G7" i="8" s="1"/>
  <c r="E25" i="8"/>
  <c r="L22" i="9"/>
  <c r="L38" i="9" s="1"/>
  <c r="M22" i="9"/>
  <c r="N22" i="9"/>
  <c r="O22" i="9"/>
  <c r="P22" i="9"/>
  <c r="P38" i="9" s="1"/>
  <c r="J23" i="9"/>
  <c r="J39" i="9" s="1"/>
  <c r="L23" i="9"/>
  <c r="M23" i="9"/>
  <c r="N23" i="9"/>
  <c r="N39" i="9" s="1"/>
  <c r="O23" i="9"/>
  <c r="P23" i="9"/>
  <c r="H24" i="9"/>
  <c r="H40" i="9" s="1"/>
  <c r="I24" i="9"/>
  <c r="I40" i="9" s="1"/>
  <c r="J24" i="9"/>
  <c r="J40" i="9" s="1"/>
  <c r="L24" i="9"/>
  <c r="M24" i="9"/>
  <c r="M40" i="9" s="1"/>
  <c r="N24" i="9"/>
  <c r="N40" i="9" s="1"/>
  <c r="O24" i="9"/>
  <c r="O40" i="9" s="1"/>
  <c r="P24" i="9"/>
  <c r="F25" i="9"/>
  <c r="G25" i="9"/>
  <c r="G41" i="9" s="1"/>
  <c r="H25" i="9"/>
  <c r="H41" i="9" s="1"/>
  <c r="I25" i="9"/>
  <c r="J25" i="9"/>
  <c r="L25" i="9"/>
  <c r="L41" i="9" s="1"/>
  <c r="M25" i="9"/>
  <c r="M41" i="9" s="1"/>
  <c r="N25" i="9"/>
  <c r="O25" i="9"/>
  <c r="P25" i="9"/>
  <c r="P41" i="9" s="1"/>
  <c r="E27" i="9"/>
  <c r="E42" i="9" s="1"/>
  <c r="F27" i="9"/>
  <c r="F42" i="9"/>
  <c r="G27" i="9"/>
  <c r="G42" i="9" s="1"/>
  <c r="H27" i="9"/>
  <c r="I27" i="9"/>
  <c r="I42" i="9"/>
  <c r="J27" i="9"/>
  <c r="J42" i="9" s="1"/>
  <c r="L27" i="9"/>
  <c r="L42" i="9" s="1"/>
  <c r="M27" i="9"/>
  <c r="N27" i="9"/>
  <c r="N42" i="9" s="1"/>
  <c r="O27" i="9"/>
  <c r="O42" i="9" s="1"/>
  <c r="P27" i="9"/>
  <c r="P42" i="9"/>
  <c r="D28" i="9"/>
  <c r="E28" i="9"/>
  <c r="E43" i="9"/>
  <c r="F28" i="9"/>
  <c r="F43" i="9" s="1"/>
  <c r="G28" i="9"/>
  <c r="G43" i="9"/>
  <c r="H28" i="9"/>
  <c r="H43" i="9" s="1"/>
  <c r="I28" i="9"/>
  <c r="I43" i="9" s="1"/>
  <c r="J28" i="9"/>
  <c r="J43" i="9"/>
  <c r="L28" i="9"/>
  <c r="L43" i="9" s="1"/>
  <c r="M28" i="9"/>
  <c r="M43" i="9" s="1"/>
  <c r="N28" i="9"/>
  <c r="N43" i="9" s="1"/>
  <c r="O28" i="9"/>
  <c r="O43" i="9" s="1"/>
  <c r="P28" i="9"/>
  <c r="P43" i="9" s="1"/>
  <c r="D29" i="9"/>
  <c r="D44" i="9"/>
  <c r="D49" i="9" s="1"/>
  <c r="E29" i="9"/>
  <c r="E44" i="9" s="1"/>
  <c r="E51" i="9" s="1"/>
  <c r="F29" i="9"/>
  <c r="G29" i="9"/>
  <c r="G44" i="9"/>
  <c r="H29" i="9"/>
  <c r="H44" i="9" s="1"/>
  <c r="I29" i="9"/>
  <c r="I44" i="9"/>
  <c r="I51" i="9" s="1"/>
  <c r="J29" i="9"/>
  <c r="J44" i="9" s="1"/>
  <c r="J49" i="9" s="1"/>
  <c r="L29" i="9"/>
  <c r="L44" i="9" s="1"/>
  <c r="M29" i="9"/>
  <c r="M44" i="9" s="1"/>
  <c r="N29" i="9"/>
  <c r="N44" i="9" s="1"/>
  <c r="O29" i="9"/>
  <c r="O44" i="9" s="1"/>
  <c r="P29" i="9"/>
  <c r="P44" i="9" s="1"/>
  <c r="D30" i="9"/>
  <c r="D45" i="9" s="1"/>
  <c r="E30" i="9"/>
  <c r="F30" i="9"/>
  <c r="F45" i="9" s="1"/>
  <c r="G30" i="9"/>
  <c r="G45" i="9"/>
  <c r="H30" i="9"/>
  <c r="H45" i="9" s="1"/>
  <c r="I30" i="9"/>
  <c r="I45" i="9"/>
  <c r="J30" i="9"/>
  <c r="J45" i="9" s="1"/>
  <c r="K30" i="9"/>
  <c r="L30" i="9"/>
  <c r="L45" i="9" s="1"/>
  <c r="M30" i="9"/>
  <c r="M45" i="9" s="1"/>
  <c r="N30" i="9"/>
  <c r="N45" i="9" s="1"/>
  <c r="O30" i="9"/>
  <c r="O45" i="9" s="1"/>
  <c r="P30" i="9"/>
  <c r="P45" i="9" s="1"/>
  <c r="D31" i="9"/>
  <c r="D46" i="9" s="1"/>
  <c r="F31" i="9"/>
  <c r="F46" i="9" s="1"/>
  <c r="G31" i="9"/>
  <c r="H31" i="9"/>
  <c r="H46" i="9" s="1"/>
  <c r="I31" i="9"/>
  <c r="I46" i="9" s="1"/>
  <c r="J31" i="9"/>
  <c r="K31" i="9"/>
  <c r="K46" i="9" s="1"/>
  <c r="L31" i="9"/>
  <c r="L46" i="9" s="1"/>
  <c r="M31" i="9"/>
  <c r="M46" i="9" s="1"/>
  <c r="N31" i="9"/>
  <c r="N46" i="9" s="1"/>
  <c r="O31" i="9"/>
  <c r="O46" i="9" s="1"/>
  <c r="P31" i="9"/>
  <c r="P46" i="9" s="1"/>
  <c r="D32" i="9"/>
  <c r="D47" i="9"/>
  <c r="E32" i="9"/>
  <c r="E47" i="9" s="1"/>
  <c r="F32" i="9"/>
  <c r="F47" i="9" s="1"/>
  <c r="G32" i="9"/>
  <c r="G47" i="9"/>
  <c r="H32" i="9"/>
  <c r="H47" i="9" s="1"/>
  <c r="I32" i="9"/>
  <c r="J32" i="9"/>
  <c r="K32" i="9"/>
  <c r="K47" i="9" s="1"/>
  <c r="L32" i="9"/>
  <c r="L47" i="9" s="1"/>
  <c r="M32" i="9"/>
  <c r="N32" i="9"/>
  <c r="N47" i="9" s="1"/>
  <c r="O32" i="9"/>
  <c r="O47" i="9" s="1"/>
  <c r="P32" i="9"/>
  <c r="P47" i="9" s="1"/>
  <c r="C36" i="9"/>
  <c r="C48" i="9" s="1"/>
  <c r="B36" i="9"/>
  <c r="Q36" i="9"/>
  <c r="R36" i="9" s="1"/>
  <c r="R48" i="9" s="1"/>
  <c r="M38" i="9"/>
  <c r="N38" i="9"/>
  <c r="O38" i="9"/>
  <c r="L39" i="9"/>
  <c r="M39" i="9"/>
  <c r="O39" i="9"/>
  <c r="P39" i="9"/>
  <c r="L40" i="9"/>
  <c r="P40" i="9"/>
  <c r="F41" i="9"/>
  <c r="I41" i="9"/>
  <c r="J41" i="9"/>
  <c r="K41" i="9"/>
  <c r="N41" i="9"/>
  <c r="O41" i="9"/>
  <c r="H42" i="9"/>
  <c r="M42" i="9"/>
  <c r="D43" i="9"/>
  <c r="F44" i="9"/>
  <c r="E45" i="9"/>
  <c r="K45" i="9"/>
  <c r="G46" i="9"/>
  <c r="J46" i="9"/>
  <c r="I47" i="9"/>
  <c r="J47" i="9"/>
  <c r="M47" i="9"/>
  <c r="D48" i="9"/>
  <c r="E48" i="9"/>
  <c r="F48" i="9"/>
  <c r="G48" i="9"/>
  <c r="H48" i="9"/>
  <c r="I48" i="9"/>
  <c r="J48" i="9"/>
  <c r="K48" i="9"/>
  <c r="L48" i="9"/>
  <c r="M48" i="9"/>
  <c r="N48" i="9"/>
  <c r="O48" i="9"/>
  <c r="P48" i="9"/>
  <c r="Q48" i="9"/>
  <c r="D50" i="9"/>
  <c r="E50" i="9"/>
  <c r="F50" i="9"/>
  <c r="G50" i="9"/>
  <c r="G51" i="9" s="1"/>
  <c r="H50" i="9"/>
  <c r="I50" i="9"/>
  <c r="J50" i="9"/>
  <c r="K50" i="9"/>
  <c r="L50" i="9"/>
  <c r="M50" i="9"/>
  <c r="N50" i="9"/>
  <c r="O50" i="9"/>
  <c r="P50" i="9"/>
  <c r="G15" i="7"/>
  <c r="E23" i="7" s="1"/>
  <c r="E24" i="7"/>
  <c r="F23" i="7"/>
  <c r="H23" i="7"/>
  <c r="I23" i="7" s="1"/>
  <c r="F24" i="7"/>
  <c r="G24" i="7"/>
  <c r="H24" i="7"/>
  <c r="E68" i="7"/>
  <c r="I68" i="7" s="1"/>
  <c r="J68" i="7"/>
  <c r="E69" i="7"/>
  <c r="J69" i="7" s="1"/>
  <c r="E70" i="7"/>
  <c r="J70" i="7" s="1"/>
  <c r="I70" i="7"/>
  <c r="K70" i="7" s="1"/>
  <c r="E71" i="7"/>
  <c r="I71" i="7" s="1"/>
  <c r="K71" i="7" s="1"/>
  <c r="J71" i="7"/>
  <c r="E72" i="7"/>
  <c r="I72" i="7" s="1"/>
  <c r="K72" i="7" s="1"/>
  <c r="E73" i="7"/>
  <c r="J73" i="7" s="1"/>
  <c r="I73" i="7"/>
  <c r="K73" i="7" s="1"/>
  <c r="B4" i="6"/>
  <c r="B8" i="6"/>
  <c r="H12" i="5"/>
  <c r="H13" i="5"/>
  <c r="B14" i="5"/>
  <c r="E20" i="5"/>
  <c r="C21" i="5"/>
  <c r="C22" i="5" s="1"/>
  <c r="D22" i="5" s="1"/>
  <c r="E22" i="5" s="1"/>
  <c r="B11" i="8"/>
  <c r="A12" i="8"/>
  <c r="D12" i="8" s="1"/>
  <c r="B12" i="8"/>
  <c r="A13" i="8"/>
  <c r="A14" i="8" s="1"/>
  <c r="N51" i="9"/>
  <c r="I49" i="9"/>
  <c r="H51" i="9"/>
  <c r="K51" i="9"/>
  <c r="K49" i="9"/>
  <c r="L68" i="7" l="1"/>
  <c r="K68" i="7"/>
  <c r="J51" i="9"/>
  <c r="I24" i="7"/>
  <c r="J24" i="7" s="1"/>
  <c r="J23" i="7"/>
  <c r="L18" i="4" s="1"/>
  <c r="H18" i="4" s="1"/>
  <c r="F51" i="9"/>
  <c r="P49" i="9"/>
  <c r="L49" i="9"/>
  <c r="L73" i="7"/>
  <c r="J72" i="7"/>
  <c r="I69" i="7"/>
  <c r="K69" i="7" s="1"/>
  <c r="Q50" i="9"/>
  <c r="G49" i="9"/>
  <c r="E12" i="8"/>
  <c r="L70" i="7"/>
  <c r="H15" i="7"/>
  <c r="I15" i="7" s="1"/>
  <c r="P51" i="9"/>
  <c r="L51" i="9"/>
  <c r="D51" i="9"/>
  <c r="N49" i="9"/>
  <c r="F49" i="9"/>
  <c r="H49" i="9"/>
  <c r="B10" i="6"/>
  <c r="D39" i="4"/>
  <c r="D40" i="4"/>
  <c r="D42" i="4"/>
  <c r="Q42" i="4"/>
  <c r="B49" i="4"/>
  <c r="C49" i="4" s="1"/>
  <c r="D49" i="4" s="1"/>
  <c r="S39" i="4" s="1"/>
  <c r="C41" i="4"/>
  <c r="D41" i="4" s="1"/>
  <c r="B50" i="4"/>
  <c r="B61" i="4"/>
  <c r="C61" i="4" s="1"/>
  <c r="C51" i="4"/>
  <c r="D51" i="4" s="1"/>
  <c r="S41" i="4" s="1"/>
  <c r="C48" i="4"/>
  <c r="D48" i="4" s="1"/>
  <c r="S38" i="4" s="1"/>
  <c r="B58" i="4"/>
  <c r="C58" i="4" s="1"/>
  <c r="D58" i="4" s="1"/>
  <c r="U38" i="4" s="1"/>
  <c r="B52" i="4"/>
  <c r="C38" i="4"/>
  <c r="D38" i="4" s="1"/>
  <c r="Q40" i="4"/>
  <c r="Q41" i="4"/>
  <c r="Q39" i="4"/>
  <c r="E11" i="8"/>
  <c r="C11" i="8" s="1"/>
  <c r="F11" i="8" s="1"/>
  <c r="J11" i="8" s="1"/>
  <c r="K11" i="8" s="1"/>
  <c r="B48" i="9"/>
  <c r="B50" i="9"/>
  <c r="D14" i="8"/>
  <c r="E14" i="8"/>
  <c r="B14" i="8"/>
  <c r="A15" i="8"/>
  <c r="H14" i="5"/>
  <c r="O49" i="9"/>
  <c r="C12" i="8"/>
  <c r="F12" i="8" s="1"/>
  <c r="R50" i="9"/>
  <c r="L71" i="7"/>
  <c r="O51" i="9"/>
  <c r="E49" i="9"/>
  <c r="M49" i="9"/>
  <c r="M51" i="9"/>
  <c r="M18" i="4"/>
  <c r="I18" i="4" s="1"/>
  <c r="N18" i="4"/>
  <c r="J18" i="4" s="1"/>
  <c r="C23" i="5"/>
  <c r="D21" i="5"/>
  <c r="E21" i="5" s="1"/>
  <c r="E13" i="8"/>
  <c r="C50" i="9"/>
  <c r="B11" i="6"/>
  <c r="M17" i="4" s="1"/>
  <c r="B13" i="8"/>
  <c r="L72" i="7"/>
  <c r="D13" i="8"/>
  <c r="C13" i="8" l="1"/>
  <c r="F13" i="8" s="1"/>
  <c r="L69" i="7"/>
  <c r="C14" i="8"/>
  <c r="F14" i="8" s="1"/>
  <c r="J14" i="8" s="1"/>
  <c r="K14" i="8" s="1"/>
  <c r="D61" i="4"/>
  <c r="U41" i="4" s="1"/>
  <c r="C50" i="4"/>
  <c r="D50" i="4" s="1"/>
  <c r="S40" i="4" s="1"/>
  <c r="B60" i="4"/>
  <c r="C60" i="4" s="1"/>
  <c r="D60" i="4" s="1"/>
  <c r="U40" i="4" s="1"/>
  <c r="B59" i="4"/>
  <c r="C59" i="4" s="1"/>
  <c r="D59" i="4" s="1"/>
  <c r="U39" i="4" s="1"/>
  <c r="C52" i="4"/>
  <c r="D52" i="4" s="1"/>
  <c r="S42" i="4" s="1"/>
  <c r="B62" i="4"/>
  <c r="C62" i="4" s="1"/>
  <c r="D62" i="4" s="1"/>
  <c r="U42" i="4" s="1"/>
  <c r="H11" i="8"/>
  <c r="I11" i="8" s="1"/>
  <c r="G11" i="8"/>
  <c r="N17" i="4"/>
  <c r="J17" i="4" s="1"/>
  <c r="I17" i="4"/>
  <c r="L17" i="4"/>
  <c r="H17" i="4" s="1"/>
  <c r="H14" i="8"/>
  <c r="I14" i="8" s="1"/>
  <c r="G14" i="8"/>
  <c r="D23" i="5"/>
  <c r="E23" i="5" s="1"/>
  <c r="C24" i="5"/>
  <c r="H12" i="8"/>
  <c r="I12" i="8" s="1"/>
  <c r="G12" i="8"/>
  <c r="J12" i="8"/>
  <c r="K12" i="8" s="1"/>
  <c r="H13" i="8"/>
  <c r="I13" i="8" s="1"/>
  <c r="J13" i="8"/>
  <c r="K13" i="8" s="1"/>
  <c r="G13" i="8"/>
  <c r="L15" i="4" s="1"/>
  <c r="H15" i="4" s="1"/>
  <c r="E15" i="8"/>
  <c r="C15" i="8" s="1"/>
  <c r="F15" i="8" s="1"/>
  <c r="A16" i="8"/>
  <c r="B15" i="8"/>
  <c r="D15" i="8"/>
  <c r="J15" i="8" l="1"/>
  <c r="K15" i="8" s="1"/>
  <c r="H15" i="8"/>
  <c r="I15" i="8" s="1"/>
  <c r="G15" i="8"/>
  <c r="D16" i="8"/>
  <c r="B16" i="8"/>
  <c r="E16" i="8"/>
  <c r="A17" i="8"/>
  <c r="C25" i="5"/>
  <c r="D24" i="5"/>
  <c r="E24" i="5" s="1"/>
  <c r="C16" i="8" l="1"/>
  <c r="F16" i="8" s="1"/>
  <c r="B17" i="8"/>
  <c r="A18" i="8"/>
  <c r="D17" i="8"/>
  <c r="E17" i="8"/>
  <c r="J16" i="8"/>
  <c r="K16" i="8" s="1"/>
  <c r="H16" i="8"/>
  <c r="I16" i="8" s="1"/>
  <c r="G16" i="8"/>
  <c r="D25" i="5"/>
  <c r="E25" i="5" s="1"/>
  <c r="C26" i="5"/>
  <c r="H21" i="4"/>
  <c r="C28" i="4" s="1"/>
  <c r="C17" i="8" l="1"/>
  <c r="F17" i="8" s="1"/>
  <c r="C32" i="4"/>
  <c r="C31" i="4"/>
  <c r="C30" i="4"/>
  <c r="C29" i="4"/>
  <c r="H17" i="8"/>
  <c r="I17" i="8" s="1"/>
  <c r="G17" i="8"/>
  <c r="J17" i="8"/>
  <c r="K17" i="8" s="1"/>
  <c r="E18" i="8"/>
  <c r="B18" i="8"/>
  <c r="A19" i="8"/>
  <c r="D18" i="8"/>
  <c r="D26" i="5"/>
  <c r="E26" i="5" s="1"/>
  <c r="C27" i="5"/>
  <c r="C18" i="8" l="1"/>
  <c r="F18" i="8" s="1"/>
  <c r="R38" i="4"/>
  <c r="E58" i="4"/>
  <c r="E48" i="4"/>
  <c r="E38" i="4"/>
  <c r="R40" i="4"/>
  <c r="E60" i="4"/>
  <c r="E40" i="4"/>
  <c r="E50" i="4"/>
  <c r="R41" i="4"/>
  <c r="E41" i="4"/>
  <c r="E61" i="4"/>
  <c r="E51" i="4"/>
  <c r="R39" i="4"/>
  <c r="E49" i="4"/>
  <c r="E59" i="4"/>
  <c r="E39" i="4"/>
  <c r="R42" i="4"/>
  <c r="E42" i="4"/>
  <c r="E62" i="4"/>
  <c r="E52" i="4"/>
  <c r="G18" i="8"/>
  <c r="M15" i="4" s="1"/>
  <c r="J18" i="8"/>
  <c r="K18" i="8" s="1"/>
  <c r="H18" i="8"/>
  <c r="I18" i="8" s="1"/>
  <c r="D27" i="5"/>
  <c r="E27" i="5" s="1"/>
  <c r="C28" i="5"/>
  <c r="E19" i="8"/>
  <c r="A20" i="8"/>
  <c r="D19" i="8"/>
  <c r="B19" i="8"/>
  <c r="E20" i="8" l="1"/>
  <c r="D20" i="8"/>
  <c r="A21" i="8"/>
  <c r="B20" i="8"/>
  <c r="C29" i="5"/>
  <c r="D28" i="5"/>
  <c r="E28" i="5" s="1"/>
  <c r="C19" i="8"/>
  <c r="F19" i="8" s="1"/>
  <c r="I15" i="4"/>
  <c r="H19" i="8" l="1"/>
  <c r="I19" i="8" s="1"/>
  <c r="J19" i="8"/>
  <c r="K19" i="8" s="1"/>
  <c r="G19" i="8"/>
  <c r="A22" i="8"/>
  <c r="B21" i="8"/>
  <c r="E21" i="8"/>
  <c r="D21" i="8"/>
  <c r="D29" i="5"/>
  <c r="E29" i="5" s="1"/>
  <c r="C30" i="5"/>
  <c r="I21" i="4"/>
  <c r="C20" i="8"/>
  <c r="F20" i="8" s="1"/>
  <c r="D32" i="4" l="1"/>
  <c r="D29" i="4"/>
  <c r="D31" i="4"/>
  <c r="D30" i="4"/>
  <c r="C21" i="8"/>
  <c r="F21" i="8" s="1"/>
  <c r="G20" i="8"/>
  <c r="J20" i="8"/>
  <c r="K20" i="8" s="1"/>
  <c r="H20" i="8"/>
  <c r="I20" i="8" s="1"/>
  <c r="E22" i="8"/>
  <c r="B22" i="8"/>
  <c r="D22" i="8"/>
  <c r="A23" i="8"/>
  <c r="D28" i="4"/>
  <c r="D30" i="5"/>
  <c r="E30" i="5" s="1"/>
  <c r="C31" i="5"/>
  <c r="T38" i="4" l="1"/>
  <c r="F38" i="4"/>
  <c r="F48" i="4"/>
  <c r="F58" i="4"/>
  <c r="T40" i="4"/>
  <c r="F50" i="4"/>
  <c r="F40" i="4"/>
  <c r="F60" i="4"/>
  <c r="T41" i="4"/>
  <c r="F41" i="4"/>
  <c r="F51" i="4"/>
  <c r="F61" i="4"/>
  <c r="T39" i="4"/>
  <c r="F49" i="4"/>
  <c r="F39" i="4"/>
  <c r="F59" i="4"/>
  <c r="T42" i="4"/>
  <c r="F62" i="4"/>
  <c r="F42" i="4"/>
  <c r="F52" i="4"/>
  <c r="D31" i="5"/>
  <c r="E31" i="5" s="1"/>
  <c r="C32" i="5"/>
  <c r="D23" i="8"/>
  <c r="E23" i="8"/>
  <c r="C23" i="8" s="1"/>
  <c r="F23" i="8" s="1"/>
  <c r="B23" i="8"/>
  <c r="C22" i="8"/>
  <c r="F22" i="8" s="1"/>
  <c r="G21" i="8"/>
  <c r="J21" i="8"/>
  <c r="K21" i="8" s="1"/>
  <c r="H21" i="8"/>
  <c r="I21" i="8" s="1"/>
  <c r="D32" i="5" l="1"/>
  <c r="E32" i="5" s="1"/>
  <c r="C33" i="5"/>
  <c r="G22" i="8"/>
  <c r="J22" i="8"/>
  <c r="K22" i="8" s="1"/>
  <c r="H22" i="8"/>
  <c r="I22" i="8" s="1"/>
  <c r="G23" i="8"/>
  <c r="N15" i="4" s="1"/>
  <c r="H23" i="8"/>
  <c r="I23" i="8" s="1"/>
  <c r="J23" i="8"/>
  <c r="K23" i="8" s="1"/>
  <c r="J15" i="4" l="1"/>
  <c r="D33" i="5"/>
  <c r="E33" i="5" s="1"/>
  <c r="C34" i="5"/>
  <c r="C35" i="5" l="1"/>
  <c r="D34" i="5"/>
  <c r="E34" i="5" s="1"/>
  <c r="J21" i="4"/>
  <c r="E32" i="4" l="1"/>
  <c r="V42" i="4" s="1"/>
  <c r="E29" i="4"/>
  <c r="V39" i="4" s="1"/>
  <c r="E30" i="4"/>
  <c r="V40" i="4" s="1"/>
  <c r="E31" i="4"/>
  <c r="V41" i="4" s="1"/>
  <c r="E28" i="4"/>
  <c r="V38" i="4" s="1"/>
  <c r="D35" i="5"/>
  <c r="E35" i="5" s="1"/>
  <c r="C36" i="5"/>
  <c r="G48" i="4" l="1"/>
  <c r="G58" i="4"/>
  <c r="G38" i="4"/>
  <c r="G61" i="4"/>
  <c r="G41" i="4"/>
  <c r="G51" i="4"/>
  <c r="G60" i="4"/>
  <c r="G50" i="4"/>
  <c r="G40" i="4"/>
  <c r="G59" i="4"/>
  <c r="G39" i="4"/>
  <c r="G49" i="4"/>
  <c r="G62" i="4"/>
  <c r="G42" i="4"/>
  <c r="G52" i="4"/>
  <c r="C37" i="5"/>
  <c r="D36" i="5"/>
  <c r="E36" i="5" s="1"/>
  <c r="C38" i="5" l="1"/>
  <c r="D37" i="5"/>
  <c r="E37" i="5" s="1"/>
  <c r="D38" i="5" l="1"/>
  <c r="E38" i="5" s="1"/>
  <c r="C39" i="5"/>
  <c r="D39" i="5" l="1"/>
  <c r="E39" i="5" s="1"/>
  <c r="C40" i="5"/>
  <c r="D40" i="5" l="1"/>
  <c r="E40" i="5" s="1"/>
  <c r="C41" i="5"/>
  <c r="D41" i="5" l="1"/>
  <c r="E41" i="5" s="1"/>
  <c r="C42" i="5"/>
  <c r="C43" i="5" l="1"/>
  <c r="D42" i="5"/>
  <c r="E42" i="5" s="1"/>
  <c r="D43" i="5" l="1"/>
  <c r="E43" i="5" s="1"/>
  <c r="C44" i="5"/>
  <c r="C45" i="5" l="1"/>
  <c r="D44" i="5"/>
  <c r="E44" i="5" s="1"/>
  <c r="C46" i="5" l="1"/>
  <c r="D45" i="5"/>
  <c r="E45" i="5" s="1"/>
  <c r="D46" i="5" l="1"/>
  <c r="E46" i="5" s="1"/>
  <c r="C47" i="5"/>
  <c r="D47" i="5" l="1"/>
  <c r="E47" i="5" s="1"/>
  <c r="C48" i="5"/>
  <c r="D48" i="5" l="1"/>
  <c r="E48" i="5" s="1"/>
  <c r="C49" i="5"/>
  <c r="D49" i="5" l="1"/>
  <c r="E49" i="5" s="1"/>
  <c r="C50" i="5"/>
  <c r="D50" i="5" s="1"/>
  <c r="E50" i="5" s="1"/>
  <c r="E52" i="5" s="1"/>
  <c r="E53" i="5" l="1"/>
  <c r="E54" i="5"/>
  <c r="B15" i="5" l="1"/>
  <c r="B16" i="5"/>
  <c r="M16" i="4" l="1"/>
  <c r="L16" i="4"/>
  <c r="N16" i="4"/>
  <c r="J16" i="4" l="1"/>
  <c r="J19" i="4" s="1"/>
  <c r="J22" i="4" s="1"/>
  <c r="N19" i="4"/>
  <c r="H16" i="4"/>
  <c r="H19" i="4" s="1"/>
  <c r="H22" i="4" s="1"/>
  <c r="L19" i="4"/>
  <c r="I16" i="4"/>
  <c r="I19" i="4" s="1"/>
  <c r="I22" i="4" s="1"/>
  <c r="M19" i="4"/>
  <c r="G32" i="4" l="1"/>
  <c r="G29" i="4"/>
  <c r="G30" i="4"/>
  <c r="G31" i="4"/>
  <c r="F32" i="4"/>
  <c r="F29" i="4"/>
  <c r="F30" i="4"/>
  <c r="F31" i="4"/>
  <c r="H32" i="4"/>
  <c r="H30" i="4"/>
  <c r="H29" i="4"/>
  <c r="H31" i="4"/>
  <c r="G28" i="4"/>
  <c r="F28" i="4"/>
  <c r="H28" i="4"/>
  <c r="H51" i="4" l="1"/>
  <c r="H41" i="4"/>
  <c r="H61" i="4"/>
  <c r="J58" i="4"/>
  <c r="J38" i="4"/>
  <c r="J48" i="4"/>
  <c r="H60" i="4"/>
  <c r="H50" i="4"/>
  <c r="H40" i="4"/>
  <c r="H58" i="4"/>
  <c r="H48" i="4"/>
  <c r="H38" i="4"/>
  <c r="H49" i="4"/>
  <c r="H59" i="4"/>
  <c r="H39" i="4"/>
  <c r="I48" i="4"/>
  <c r="I38" i="4"/>
  <c r="I58" i="4"/>
  <c r="H62" i="4"/>
  <c r="H42" i="4"/>
  <c r="H52" i="4"/>
  <c r="J61" i="4"/>
  <c r="J51" i="4"/>
  <c r="J41" i="4"/>
  <c r="I51" i="4"/>
  <c r="I61" i="4"/>
  <c r="I41" i="4"/>
  <c r="J49" i="4"/>
  <c r="J59" i="4"/>
  <c r="J39" i="4"/>
  <c r="I50" i="4"/>
  <c r="I60" i="4"/>
  <c r="I40" i="4"/>
  <c r="J50" i="4"/>
  <c r="J60" i="4"/>
  <c r="J40" i="4"/>
  <c r="I49" i="4"/>
  <c r="I39" i="4"/>
  <c r="I59" i="4"/>
  <c r="J62" i="4"/>
  <c r="J52" i="4"/>
  <c r="J42" i="4"/>
  <c r="I62" i="4"/>
  <c r="I52" i="4"/>
  <c r="I42" i="4"/>
</calcChain>
</file>

<file path=xl/sharedStrings.xml><?xml version="1.0" encoding="utf-8"?>
<sst xmlns="http://schemas.openxmlformats.org/spreadsheetml/2006/main" count="296" uniqueCount="205">
  <si>
    <t>%</t>
  </si>
  <si>
    <t xml:space="preserve">   Extension Agricultural Engineer</t>
  </si>
  <si>
    <t xml:space="preserve">   Biosystems and Agricultural Engineering Department</t>
  </si>
  <si>
    <t xml:space="preserve">   University of Kentucky Research and Education Center</t>
  </si>
  <si>
    <t xml:space="preserve">   Princeton, KY 42445-0469</t>
  </si>
  <si>
    <t xml:space="preserve">   270-365-7541 x 213</t>
  </si>
  <si>
    <t xml:space="preserve">   smcneill@uky.edu</t>
  </si>
  <si>
    <t>Prepared by: Samuel G. McNeill, PhD, PE</t>
  </si>
  <si>
    <t>$/gal</t>
  </si>
  <si>
    <t>5 pts</t>
  </si>
  <si>
    <t>10 pts</t>
  </si>
  <si>
    <t>Initial Cost</t>
  </si>
  <si>
    <t>Replacement Motor and Burner (installed)</t>
  </si>
  <si>
    <t>Shell Life (years)</t>
  </si>
  <si>
    <t>Motor and Burner Life (years)</t>
  </si>
  <si>
    <t>Acres Corn</t>
  </si>
  <si>
    <t>Avg. Pts Reduced per bushel</t>
  </si>
  <si>
    <t>Avg. Bushel per Acre Yield</t>
  </si>
  <si>
    <t>Salvage Value</t>
  </si>
  <si>
    <t>Year</t>
  </si>
  <si>
    <t>Undiscounted $</t>
  </si>
  <si>
    <t>Interest or Discount Rate (Interest Rate - Inflation Rate)</t>
  </si>
  <si>
    <t xml:space="preserve">NPV </t>
  </si>
  <si>
    <t>Total</t>
  </si>
  <si>
    <t>Total/year</t>
  </si>
  <si>
    <t>Payment</t>
  </si>
  <si>
    <t>Notes:</t>
  </si>
  <si>
    <t>This accounts only for depreciable portion of initital cost</t>
  </si>
  <si>
    <t>Assumes that maintenance will be proportional to usage.</t>
  </si>
  <si>
    <t>Currently, this has no impact: only concerned with depreciable portion.</t>
  </si>
  <si>
    <t>Total Pts Reduced per year</t>
  </si>
  <si>
    <t>Depreciation and Maintenance / pt</t>
  </si>
  <si>
    <t>Yearly Maintenance and repairs (hired)</t>
  </si>
  <si>
    <t>Avg. Pts per bu</t>
  </si>
  <si>
    <t>Avg. Bu-pts per day</t>
  </si>
  <si>
    <t>Hours/day devoted to drying</t>
  </si>
  <si>
    <t>Cost per day</t>
  </si>
  <si>
    <t>Labor Rate (include fringe)</t>
  </si>
  <si>
    <t>Total Labor per bu-pt</t>
  </si>
  <si>
    <t>mpg</t>
  </si>
  <si>
    <t>miles</t>
  </si>
  <si>
    <t>bu</t>
  </si>
  <si>
    <t>Fuel</t>
  </si>
  <si>
    <t>Efficiency</t>
  </si>
  <si>
    <t>Distance</t>
  </si>
  <si>
    <t>Cost</t>
  </si>
  <si>
    <t>Truck</t>
  </si>
  <si>
    <t>Capacity</t>
  </si>
  <si>
    <t>cents</t>
  </si>
  <si>
    <t>cents/bu</t>
  </si>
  <si>
    <t>*</t>
  </si>
  <si>
    <t>cent/bu</t>
  </si>
  <si>
    <t>$/h</t>
  </si>
  <si>
    <t>h</t>
  </si>
  <si>
    <t>per bu</t>
  </si>
  <si>
    <t>Buyer</t>
  </si>
  <si>
    <t>No.</t>
  </si>
  <si>
    <t>Time**</t>
  </si>
  <si>
    <t>**</t>
  </si>
  <si>
    <t>Time</t>
  </si>
  <si>
    <t>min</t>
  </si>
  <si>
    <t>Assumes an average speed of 45 mph.</t>
  </si>
  <si>
    <t>Wait &amp;</t>
  </si>
  <si>
    <t>Unload</t>
  </si>
  <si>
    <t>$/mi</t>
  </si>
  <si>
    <t>Repairs</t>
  </si>
  <si>
    <t>Fixed</t>
  </si>
  <si>
    <t>Cost*</t>
  </si>
  <si>
    <t>&amp; tires</t>
  </si>
  <si>
    <t xml:space="preserve">Labor </t>
  </si>
  <si>
    <t>cents/mi</t>
  </si>
  <si>
    <t>cnts/bu-mi</t>
  </si>
  <si>
    <t>TCC - ISU***</t>
  </si>
  <si>
    <t>From Table 1</t>
  </si>
  <si>
    <t>Fuel/lube</t>
  </si>
  <si>
    <t>Op-Labor</t>
  </si>
  <si>
    <t>Op+Labor</t>
  </si>
  <si>
    <t>:Op-Lab</t>
  </si>
  <si>
    <t>:Total Op</t>
  </si>
  <si>
    <t>Fuel/Lube</t>
  </si>
  <si>
    <t>Labor</t>
  </si>
  <si>
    <t>One-way</t>
  </si>
  <si>
    <t>Overhead and Fuel</t>
  </si>
  <si>
    <t>/bu-mi</t>
  </si>
  <si>
    <t>Overhead</t>
  </si>
  <si>
    <t>Fixed costs include depreciation, interest, taxes, insurance and license.</t>
  </si>
  <si>
    <t>Table 1. Truck, trailer and fuel costs.</t>
  </si>
  <si>
    <t>Table 2. Grain hauling cost--comparison between two elevators/locations.</t>
  </si>
  <si>
    <t>Grain hauling costs for assumed overhead, fuel and labor costs to facilitate a comparison</t>
  </si>
  <si>
    <t>between two delivery locations/grain buyers.</t>
  </si>
  <si>
    <t>% Fixed as Var</t>
  </si>
  <si>
    <t>Hauling Distance to Dryer</t>
  </si>
  <si>
    <t>Hauling Distance to Elevator</t>
  </si>
  <si>
    <t>Repairs Est for Motor and Burner</t>
  </si>
  <si>
    <t>Repairs Est for Rest</t>
  </si>
  <si>
    <t>Expected Yield (bu/ac)</t>
  </si>
  <si>
    <t>Harvest Loss (bu/ac)</t>
  </si>
  <si>
    <t>Avg. Bushels per day</t>
  </si>
  <si>
    <t xml:space="preserve">Prepared by: </t>
  </si>
  <si>
    <t xml:space="preserve">   Samuel G. McNeill, PhD, PE</t>
  </si>
  <si>
    <t>and</t>
  </si>
  <si>
    <t xml:space="preserve">   Biosystems and Agricultural Engineering Dept</t>
  </si>
  <si>
    <t xml:space="preserve">   UK Research and Education Center</t>
  </si>
  <si>
    <t>Greg S. Halich, PhD</t>
  </si>
  <si>
    <t>University of Kentucky</t>
  </si>
  <si>
    <t>Agricultural Economics Department</t>
  </si>
  <si>
    <t>Lexington, KY 40546-0276</t>
  </si>
  <si>
    <t>Ph: 859-257-8841</t>
  </si>
  <si>
    <t xml:space="preserve">   sam.mcneill@uky.edu</t>
  </si>
  <si>
    <t>Dryer not paid for</t>
  </si>
  <si>
    <t>Dryer paid for</t>
  </si>
  <si>
    <t>Final MC:</t>
  </si>
  <si>
    <t>LP gas price:</t>
  </si>
  <si>
    <t>Gal LP</t>
  </si>
  <si>
    <t>c/bu</t>
  </si>
  <si>
    <t>MC</t>
  </si>
  <si>
    <t>Gal LP/bu</t>
  </si>
  <si>
    <t>/bu-pt</t>
  </si>
  <si>
    <t>bu/gal LP</t>
  </si>
  <si>
    <t>bu/gal-pt</t>
  </si>
  <si>
    <t>c/bu-pt</t>
  </si>
  <si>
    <t>D &amp; M per bu</t>
  </si>
  <si>
    <r>
      <t>Total Cost</t>
    </r>
    <r>
      <rPr>
        <sz val="10"/>
        <rFont val="Arial"/>
      </rPr>
      <t xml:space="preserve"> $/bu:</t>
    </r>
  </si>
  <si>
    <r>
      <t>Energy cost</t>
    </r>
    <r>
      <rPr>
        <sz val="10"/>
        <rFont val="Arial"/>
      </rPr>
      <t xml:space="preserve"> $/bu:</t>
    </r>
  </si>
  <si>
    <t>Total Labor per bu</t>
  </si>
  <si>
    <t>pts</t>
  </si>
  <si>
    <t>Energy</t>
  </si>
  <si>
    <t>Hauling</t>
  </si>
  <si>
    <t>greg.halich@uky.edu</t>
  </si>
  <si>
    <t>Total drying costs include energy, labor, equipment, and repairs.</t>
  </si>
  <si>
    <t>Final</t>
  </si>
  <si>
    <t>Initial corn moisture</t>
  </si>
  <si>
    <t>Moisture</t>
  </si>
  <si>
    <t>Content</t>
  </si>
  <si>
    <t>BTUs/bushel</t>
  </si>
  <si>
    <t>* Assumes bushel is at initial moisture content, air flow rate is 100 cu.ft/bu. and air temperature is 180°F.</t>
  </si>
  <si>
    <t>Source: National Corn Handbook NCH-21. Purdue University Cooperative Extension Service.</t>
  </si>
  <si>
    <t>Base moisture =</t>
  </si>
  <si>
    <r>
      <t>y = 27634x</t>
    </r>
    <r>
      <rPr>
        <vertAlign val="superscript"/>
        <sz val="11"/>
        <color indexed="8"/>
        <rFont val="Calibri"/>
        <family val="2"/>
      </rPr>
      <t>2</t>
    </r>
    <r>
      <rPr>
        <sz val="10"/>
        <rFont val="Arial"/>
      </rPr>
      <t xml:space="preserve"> - 21658x + 5932.4</t>
    </r>
  </si>
  <si>
    <t>R²</t>
  </si>
  <si>
    <t>DE^15.0</t>
  </si>
  <si>
    <t>DE^215.0</t>
  </si>
  <si>
    <t>Burner efficiency:</t>
  </si>
  <si>
    <t>Btu/lb</t>
  </si>
  <si>
    <t>H20</t>
  </si>
  <si>
    <t>H20/bu</t>
  </si>
  <si>
    <t>Dryer Efficiency:</t>
  </si>
  <si>
    <t>Btu/lb of water at 10 points</t>
  </si>
  <si>
    <t>Drying Efficiency Adjustment:</t>
  </si>
  <si>
    <t>kBtu/bu</t>
  </si>
  <si>
    <t>15 pts</t>
  </si>
  <si>
    <t>Total Cost</t>
  </si>
  <si>
    <t xml:space="preserve">Value of HL ($ /ac) </t>
  </si>
  <si>
    <r>
      <rPr>
        <sz val="10"/>
        <rFont val="Arial"/>
        <family val="2"/>
      </rPr>
      <t xml:space="preserve">Returns to </t>
    </r>
    <r>
      <rPr>
        <b/>
        <sz val="10"/>
        <color indexed="57"/>
        <rFont val="Arial"/>
        <family val="2"/>
      </rPr>
      <t>Total Cost</t>
    </r>
    <r>
      <rPr>
        <sz val="10"/>
        <rFont val="Arial"/>
      </rPr>
      <t xml:space="preserve"> for 5, 10 or 15 Points</t>
    </r>
  </si>
  <si>
    <r>
      <t xml:space="preserve">Returns to </t>
    </r>
    <r>
      <rPr>
        <b/>
        <sz val="10"/>
        <color indexed="53"/>
        <rFont val="Arial"/>
        <family val="2"/>
      </rPr>
      <t xml:space="preserve">Energy Cost </t>
    </r>
    <r>
      <rPr>
        <sz val="10"/>
        <rFont val="Arial"/>
        <family val="2"/>
      </rPr>
      <t>for 5, 10 or 15 points, $/ac</t>
    </r>
  </si>
  <si>
    <t>Low harvest loss:</t>
  </si>
  <si>
    <t>Average harvest loss:</t>
  </si>
  <si>
    <t>High harvest loss:</t>
  </si>
  <si>
    <t>Energy to dry corn to 15.0% with a continuous flow dryer operating at 180F and 100 cfm/bu.</t>
  </si>
  <si>
    <t>Table 1. Energy required to dry a bushel of corn (Btu/bu).</t>
  </si>
  <si>
    <t>Table 2. Amount of water removed from corn at various initial and final moisture levels.</t>
  </si>
  <si>
    <t>Table 3. Drying efficiency (Btu/lb H2O removed).</t>
  </si>
  <si>
    <t>Market MC:</t>
  </si>
  <si>
    <t>Avg. corn price, $/bu</t>
  </si>
  <si>
    <t>LP gas ($/gal)</t>
  </si>
  <si>
    <t>cents/bu-pt</t>
  </si>
  <si>
    <t>** Energy cost based on price for LP gas (or equivalent for NG) and 10 cents/kwh for electricity.</t>
  </si>
  <si>
    <r>
      <t xml:space="preserve">  </t>
    </r>
    <r>
      <rPr>
        <b/>
        <sz val="10"/>
        <color indexed="53"/>
        <rFont val="Arial"/>
        <family val="2"/>
      </rPr>
      <t>Energy Cost</t>
    </r>
    <r>
      <rPr>
        <sz val="10"/>
        <rFont val="Arial"/>
      </rPr>
      <t xml:space="preserve"> to dry 5, 10, or 15 points, $/ac</t>
    </r>
  </si>
  <si>
    <r>
      <t>Total Cost</t>
    </r>
    <r>
      <rPr>
        <sz val="10"/>
        <rFont val="Arial"/>
      </rPr>
      <t xml:space="preserve"> to dry 5, 10, or 15 points, $/ac</t>
    </r>
  </si>
  <si>
    <t>Variable costs</t>
  </si>
  <si>
    <t>**Drying fuel</t>
  </si>
  <si>
    <t>Depreciation+Maint.</t>
  </si>
  <si>
    <t>Additional Hauling</t>
  </si>
  <si>
    <t>Costs for 5, 10 or 15 pts (cents/bu)</t>
  </si>
  <si>
    <t>Cost comparison between corn harvest losses and heated air drying ($/ac) for average</t>
  </si>
  <si>
    <t>corn and energy prices, estimated dryer efficiency, and range of expected yield levels.</t>
  </si>
  <si>
    <t>Dryer Efficiency* (Btu/lb of water at 10 points):</t>
  </si>
  <si>
    <t>* Typical range is 1500 to 3000 Btu/llb</t>
  </si>
  <si>
    <t>Yield</t>
  </si>
  <si>
    <t>bu/ac</t>
  </si>
  <si>
    <t>Cost, bu/ac</t>
  </si>
  <si>
    <t>2% HL</t>
  </si>
  <si>
    <t>5% HL</t>
  </si>
  <si>
    <t>8% HL</t>
  </si>
  <si>
    <t>Compatibility Report for Corn_Harvest_Losses_vs_Drying_Costs_UK_2014.xls</t>
  </si>
  <si>
    <t>Run on 7/27/2014 12:18</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</si>
  <si>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</si>
  <si>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</si>
  <si>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</si>
  <si>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</si>
  <si>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Earlier versions of Excel only support line colors from the color palette. When the workbook is opened in an earlier version of Excel, all line colors will be mapped to the closest color in the color palette, and a chart may display multiple series in the same color.</t>
  </si>
  <si>
    <t>Main'!B4:U66</t>
  </si>
  <si>
    <t>Excel 97-2003</t>
  </si>
  <si>
    <t>Dryer Eff.'!A1:U75</t>
  </si>
  <si>
    <t>Location</t>
  </si>
  <si>
    <t>$/bu</t>
  </si>
  <si>
    <t>Cash</t>
  </si>
  <si>
    <t>Associate Extension Professor</t>
  </si>
  <si>
    <t>Cost trade-offs with harvest losses and drying ($3.60 corn and $1.00 LP).</t>
  </si>
  <si>
    <t>Fall</t>
  </si>
  <si>
    <t>Jan</t>
  </si>
  <si>
    <t>Avg.</t>
  </si>
  <si>
    <t>Ky Farm Bureau</t>
  </si>
  <si>
    <t>Friday, Aug. 31, 2019</t>
  </si>
  <si>
    <t xml:space="preserve">   Extension Professor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</si>
</sst>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7" formatCode="&quot;$&quot;#,##0.00_);\(&quot;$&quot;#,##0.00\)"/>
    <numFmt numFmtId="44" formatCode="_(&quot;$&quot;* #,##0.00_);_(&quot;$&quot;* \(#,##0.00\);_(&quot;$&quot;* &quot;-&quot;??_);_(@_)"/>
    <numFmt numFmtId="164" formatCode="0.0"/>
    <numFmt numFmtId="165" formatCode="0.0000"/>
    <numFmt numFmtId="166" formatCode="0.000"/>
    <numFmt numFmtId="167" formatCode="0.0%"/>
    <numFmt numFmtId="168" formatCode="&quot;$&quot;#,##0.000"/>
    <numFmt numFmtId="169" formatCode="&quot;$&quot;#,##0"/>
    <numFmt numFmtId="170" formatCode="&quot;$&quot;#,##0.0000_);[Red]\(&quot;$&quot;#,##0.0000\)"/>
    <numFmt numFmtId="171" formatCode="&quot;$&quot;#,##0.0000"/>
  </numFmts>
  <fonts count="21" x14ac:knownFonts="1">
    <font>
      <sz val="10"/>
      <name val="Arial"/>
    </font>
    <font>
      <sz val="10"/>
      <name val="Arial"/>
    </font>
    <font>
      <u/>
      <sz val="10"/>
      <color indexed="12"/>
      <name val="Arial"/>
      <family val="2"/>
    </font>
    <font>
      <sz val="10"/>
      <name val="Arial"/>
      <family val="2"/>
    </font>
    <font>
      <b/>
      <sz val="10"/>
      <color indexed="12"/>
      <name val="Arial"/>
      <family val="2"/>
    </font>
    <font>
      <sz val="8"/>
      <name val="Arial"/>
      <family val="2"/>
    </font>
    <font>
      <b/>
      <u/>
      <sz val="10"/>
      <name val="Arial"/>
      <family val="2"/>
    </font>
    <font>
      <b/>
      <i/>
      <sz val="10"/>
      <name val="Arial"/>
      <family val="2"/>
    </font>
    <font>
      <b/>
      <i/>
      <u/>
      <sz val="10"/>
      <name val="Arial"/>
      <family val="2"/>
    </font>
    <font>
      <u/>
      <sz val="10"/>
      <name val="Arial"/>
      <family val="2"/>
    </font>
    <font>
      <b/>
      <sz val="10"/>
      <color indexed="53"/>
      <name val="Arial"/>
      <family val="2"/>
    </font>
    <font>
      <sz val="10"/>
      <color indexed="10"/>
      <name val="Arial"/>
      <family val="2"/>
    </font>
    <font>
      <b/>
      <sz val="10"/>
      <color indexed="57"/>
      <name val="Arial"/>
      <family val="2"/>
    </font>
    <font>
      <b/>
      <sz val="10"/>
      <name val="Arial"/>
      <family val="2"/>
    </font>
    <font>
      <sz val="10"/>
      <color indexed="12"/>
      <name val="Arial"/>
      <family val="2"/>
    </font>
    <font>
      <vertAlign val="superscript"/>
      <sz val="11"/>
      <color indexed="8"/>
      <name val="Calibri"/>
      <family val="2"/>
    </font>
    <font>
      <b/>
      <sz val="10"/>
      <name val="Arial"/>
    </font>
    <font>
      <sz val="10"/>
      <color rgb="FF000000"/>
      <name val="Calibri"/>
      <family val="2"/>
      <scheme val="minor"/>
    </font>
    <font>
      <sz val="10"/>
      <color rgb="FF0000FF"/>
      <name val="Arial"/>
      <family val="2"/>
    </font>
    <font>
      <b/>
      <sz val="10"/>
      <color rgb="FF0000FF"/>
      <name val="Arial"/>
      <family val="2"/>
    </font>
    <font>
      <sz val="10"/>
      <color theme="1"/>
      <name val="Arial"/>
      <family val="2"/>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50">
    <border>
      <left/>
      <right/>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311">
    <xf numFmtId="0" fontId="0" fillId="0" borderId="0" xfId="0"/>
    <xf numFmtId="0" fontId="0" fillId="0" borderId="0" xfId="0" applyAlignment="1"/>
    <xf numFmtId="0" fontId="0" fillId="0" borderId="1" xfId="0" applyBorder="1" applyAlignment="1"/>
    <xf numFmtId="0" fontId="0" fillId="0" borderId="0" xfId="0" applyBorder="1" applyAlignment="1"/>
    <xf numFmtId="0" fontId="0" fillId="0" borderId="0" xfId="0" applyAlignment="1">
      <alignment horizontal="right"/>
    </xf>
    <xf numFmtId="0" fontId="3" fillId="0" borderId="0" xfId="2" applyFont="1" applyAlignment="1" applyProtection="1"/>
    <xf numFmtId="167" fontId="4" fillId="0" borderId="0" xfId="0" applyNumberFormat="1" applyFont="1"/>
    <xf numFmtId="168" fontId="0" fillId="0" borderId="0" xfId="0" applyNumberFormat="1"/>
    <xf numFmtId="0" fontId="0" fillId="0" borderId="2" xfId="0" applyBorder="1" applyAlignment="1">
      <alignment horizontal="right"/>
    </xf>
    <xf numFmtId="0" fontId="0" fillId="0" borderId="3" xfId="0" applyFill="1" applyBorder="1" applyAlignment="1">
      <alignment horizontal="right"/>
    </xf>
    <xf numFmtId="0" fontId="0" fillId="0" borderId="4" xfId="0" applyBorder="1"/>
    <xf numFmtId="0" fontId="0" fillId="0" borderId="5" xfId="0" applyFill="1" applyBorder="1" applyAlignment="1">
      <alignment horizontal="right"/>
    </xf>
    <xf numFmtId="169" fontId="0" fillId="0" borderId="0" xfId="0" applyNumberFormat="1"/>
    <xf numFmtId="0" fontId="6" fillId="0" borderId="0" xfId="0" applyFont="1"/>
    <xf numFmtId="0" fontId="8" fillId="0" borderId="0" xfId="0" applyFont="1"/>
    <xf numFmtId="9" fontId="4" fillId="0" borderId="0" xfId="0" applyNumberFormat="1" applyFont="1"/>
    <xf numFmtId="0" fontId="0" fillId="0" borderId="6" xfId="0" applyBorder="1"/>
    <xf numFmtId="0" fontId="0" fillId="0" borderId="7" xfId="0" applyBorder="1"/>
    <xf numFmtId="0" fontId="0" fillId="0" borderId="8" xfId="0" applyBorder="1"/>
    <xf numFmtId="0" fontId="0" fillId="0" borderId="9"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3" xfId="0" applyFill="1" applyBorder="1" applyAlignment="1">
      <alignment horizontal="right"/>
    </xf>
    <xf numFmtId="2" fontId="4" fillId="0" borderId="14" xfId="0" applyNumberFormat="1" applyFont="1" applyBorder="1"/>
    <xf numFmtId="0" fontId="4" fillId="0" borderId="15" xfId="0" applyFont="1" applyBorder="1"/>
    <xf numFmtId="2" fontId="4" fillId="0" borderId="16" xfId="0" applyNumberFormat="1" applyFont="1" applyBorder="1"/>
    <xf numFmtId="0" fontId="4" fillId="0" borderId="16" xfId="0" applyFont="1" applyBorder="1"/>
    <xf numFmtId="2" fontId="1" fillId="0" borderId="15" xfId="0" applyNumberFormat="1" applyFont="1" applyBorder="1"/>
    <xf numFmtId="2" fontId="1" fillId="0" borderId="16" xfId="0" applyNumberFormat="1" applyFont="1" applyBorder="1"/>
    <xf numFmtId="2" fontId="1" fillId="0" borderId="17" xfId="0" applyNumberFormat="1" applyFont="1" applyBorder="1"/>
    <xf numFmtId="0" fontId="0" fillId="0" borderId="0" xfId="0" applyFill="1" applyBorder="1" applyAlignment="1">
      <alignment horizontal="right"/>
    </xf>
    <xf numFmtId="0" fontId="0" fillId="0" borderId="0" xfId="0" applyFill="1" applyBorder="1" applyAlignment="1">
      <alignment horizontal="left"/>
    </xf>
    <xf numFmtId="0" fontId="0" fillId="0" borderId="18" xfId="0" applyBorder="1"/>
    <xf numFmtId="0" fontId="0" fillId="0" borderId="18"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19" xfId="0" applyBorder="1"/>
    <xf numFmtId="0" fontId="0" fillId="0" borderId="2" xfId="0" applyBorder="1"/>
    <xf numFmtId="0" fontId="0" fillId="0" borderId="20" xfId="0" applyBorder="1" applyAlignment="1">
      <alignment horizontal="right"/>
    </xf>
    <xf numFmtId="0" fontId="0" fillId="0" borderId="21" xfId="0" applyBorder="1" applyAlignment="1">
      <alignment horizontal="right"/>
    </xf>
    <xf numFmtId="0" fontId="0" fillId="0" borderId="20" xfId="0" applyFill="1" applyBorder="1" applyAlignment="1">
      <alignment horizontal="right"/>
    </xf>
    <xf numFmtId="0" fontId="0" fillId="0" borderId="1" xfId="0" applyFill="1" applyBorder="1" applyAlignment="1">
      <alignment horizontal="right"/>
    </xf>
    <xf numFmtId="0" fontId="0" fillId="0" borderId="21" xfId="0" applyFill="1" applyBorder="1" applyAlignment="1">
      <alignment horizontal="right"/>
    </xf>
    <xf numFmtId="0" fontId="4" fillId="0" borderId="18" xfId="0" applyFont="1" applyBorder="1"/>
    <xf numFmtId="0" fontId="4" fillId="0" borderId="7" xfId="0" applyFont="1" applyBorder="1"/>
    <xf numFmtId="2" fontId="1" fillId="0" borderId="18" xfId="0" applyNumberFormat="1" applyFont="1" applyBorder="1"/>
    <xf numFmtId="2" fontId="1" fillId="0" borderId="8" xfId="0" applyNumberFormat="1" applyFont="1" applyBorder="1"/>
    <xf numFmtId="2" fontId="4" fillId="0" borderId="18" xfId="0" applyNumberFormat="1" applyFont="1" applyBorder="1"/>
    <xf numFmtId="2" fontId="3" fillId="0" borderId="7" xfId="0" applyNumberFormat="1" applyFont="1" applyFill="1" applyBorder="1"/>
    <xf numFmtId="2" fontId="3" fillId="0" borderId="7" xfId="0" applyNumberFormat="1" applyFont="1" applyBorder="1"/>
    <xf numFmtId="0" fontId="0" fillId="0" borderId="20" xfId="0" applyBorder="1"/>
    <xf numFmtId="0" fontId="4" fillId="0" borderId="20" xfId="0" applyFont="1" applyBorder="1"/>
    <xf numFmtId="0" fontId="4" fillId="0" borderId="21" xfId="0" applyFont="1" applyBorder="1"/>
    <xf numFmtId="2" fontId="1" fillId="0" borderId="20" xfId="0" applyNumberFormat="1" applyFont="1" applyBorder="1"/>
    <xf numFmtId="2" fontId="1" fillId="0" borderId="1" xfId="0" applyNumberFormat="1" applyFont="1" applyBorder="1"/>
    <xf numFmtId="2" fontId="3" fillId="0" borderId="20" xfId="0" applyNumberFormat="1" applyFont="1" applyBorder="1"/>
    <xf numFmtId="2" fontId="3" fillId="0" borderId="21" xfId="0" applyNumberFormat="1" applyFont="1" applyFill="1" applyBorder="1"/>
    <xf numFmtId="2" fontId="3" fillId="0" borderId="21" xfId="0" applyNumberFormat="1" applyFont="1" applyBorder="1"/>
    <xf numFmtId="0" fontId="0" fillId="0" borderId="0" xfId="0" applyBorder="1" applyAlignment="1">
      <alignment horizontal="right"/>
    </xf>
    <xf numFmtId="0" fontId="3" fillId="0" borderId="0" xfId="0" applyFont="1"/>
    <xf numFmtId="0" fontId="3" fillId="0" borderId="0" xfId="0" applyFont="1" applyAlignment="1"/>
    <xf numFmtId="0" fontId="0" fillId="0" borderId="22" xfId="0" applyBorder="1" applyAlignment="1">
      <alignment horizontal="right"/>
    </xf>
    <xf numFmtId="0" fontId="3" fillId="0" borderId="22" xfId="0" applyFont="1" applyBorder="1" applyAlignment="1">
      <alignment horizontal="right"/>
    </xf>
    <xf numFmtId="0" fontId="3" fillId="0" borderId="22" xfId="0" applyFont="1" applyBorder="1"/>
    <xf numFmtId="0" fontId="3" fillId="0" borderId="22" xfId="0" applyFont="1" applyFill="1" applyBorder="1" applyAlignment="1">
      <alignment horizontal="right"/>
    </xf>
    <xf numFmtId="0" fontId="3" fillId="0" borderId="0" xfId="0" applyFont="1" applyFill="1" applyBorder="1" applyAlignment="1">
      <alignment horizontal="right"/>
    </xf>
    <xf numFmtId="2" fontId="0" fillId="0" borderId="0" xfId="0" applyNumberFormat="1"/>
    <xf numFmtId="166" fontId="0" fillId="0" borderId="0" xfId="0" applyNumberFormat="1"/>
    <xf numFmtId="167" fontId="0" fillId="0" borderId="0" xfId="0" applyNumberFormat="1"/>
    <xf numFmtId="2" fontId="0" fillId="0" borderId="0" xfId="0" applyNumberFormat="1" applyBorder="1"/>
    <xf numFmtId="2" fontId="3" fillId="0" borderId="0" xfId="0" applyNumberFormat="1" applyFont="1" applyBorder="1"/>
    <xf numFmtId="169" fontId="9" fillId="0" borderId="0" xfId="0" applyNumberFormat="1" applyFont="1"/>
    <xf numFmtId="0" fontId="0" fillId="0" borderId="0" xfId="0" applyBorder="1" applyAlignment="1">
      <alignment horizontal="left"/>
    </xf>
    <xf numFmtId="0" fontId="0" fillId="0" borderId="23" xfId="0" applyBorder="1" applyAlignment="1">
      <alignment horizontal="center"/>
    </xf>
    <xf numFmtId="0" fontId="7" fillId="2" borderId="0" xfId="0" applyFont="1" applyFill="1"/>
    <xf numFmtId="0" fontId="0" fillId="0" borderId="23" xfId="0" applyBorder="1"/>
    <xf numFmtId="3" fontId="4" fillId="0" borderId="23" xfId="0" applyNumberFormat="1" applyFont="1" applyBorder="1"/>
    <xf numFmtId="164" fontId="4" fillId="0" borderId="23" xfId="0" applyNumberFormat="1" applyFont="1" applyBorder="1"/>
    <xf numFmtId="3" fontId="0" fillId="0" borderId="23" xfId="0" applyNumberFormat="1" applyBorder="1"/>
    <xf numFmtId="169" fontId="4" fillId="0" borderId="23" xfId="0" applyNumberFormat="1" applyFont="1" applyBorder="1"/>
    <xf numFmtId="169" fontId="0" fillId="0" borderId="23" xfId="0" applyNumberFormat="1" applyBorder="1"/>
    <xf numFmtId="6" fontId="7" fillId="0" borderId="23" xfId="0" applyNumberFormat="1" applyFont="1" applyBorder="1"/>
    <xf numFmtId="1" fontId="4" fillId="0" borderId="23" xfId="0" applyNumberFormat="1" applyFont="1" applyBorder="1"/>
    <xf numFmtId="167" fontId="4" fillId="0" borderId="23" xfId="0" applyNumberFormat="1" applyFont="1" applyBorder="1"/>
    <xf numFmtId="7" fontId="0" fillId="0" borderId="0" xfId="0" applyNumberFormat="1"/>
    <xf numFmtId="168" fontId="0" fillId="0" borderId="22" xfId="0" applyNumberFormat="1" applyBorder="1"/>
    <xf numFmtId="0" fontId="0" fillId="0" borderId="22" xfId="0" applyBorder="1"/>
    <xf numFmtId="0" fontId="0" fillId="0" borderId="24" xfId="0" applyBorder="1"/>
    <xf numFmtId="0" fontId="0" fillId="0" borderId="24" xfId="0" applyBorder="1" applyAlignment="1"/>
    <xf numFmtId="0" fontId="0" fillId="0" borderId="25" xfId="0" applyBorder="1" applyAlignment="1"/>
    <xf numFmtId="0" fontId="0" fillId="0" borderId="0" xfId="0" quotePrefix="1"/>
    <xf numFmtId="164" fontId="11" fillId="0" borderId="22" xfId="0" applyNumberFormat="1" applyFont="1" applyBorder="1"/>
    <xf numFmtId="0" fontId="0" fillId="0" borderId="26" xfId="0" applyBorder="1"/>
    <xf numFmtId="0" fontId="0" fillId="0" borderId="22" xfId="0" quotePrefix="1" applyBorder="1" applyAlignment="1">
      <alignment horizontal="right"/>
    </xf>
    <xf numFmtId="0" fontId="0" fillId="0" borderId="3" xfId="0" applyBorder="1"/>
    <xf numFmtId="165" fontId="0" fillId="0" borderId="0" xfId="0" applyNumberFormat="1"/>
    <xf numFmtId="0" fontId="0" fillId="3" borderId="3" xfId="0" applyFill="1" applyBorder="1"/>
    <xf numFmtId="0" fontId="0" fillId="0" borderId="11" xfId="0" applyBorder="1"/>
    <xf numFmtId="2" fontId="0" fillId="0" borderId="22" xfId="0" applyNumberFormat="1" applyBorder="1"/>
    <xf numFmtId="166" fontId="0" fillId="0" borderId="22" xfId="0" applyNumberFormat="1" applyBorder="1"/>
    <xf numFmtId="165" fontId="0" fillId="0" borderId="22" xfId="0" applyNumberFormat="1" applyBorder="1"/>
    <xf numFmtId="2" fontId="0" fillId="0" borderId="0" xfId="0" applyNumberFormat="1" applyFill="1"/>
    <xf numFmtId="168" fontId="0" fillId="0" borderId="0" xfId="0" applyNumberFormat="1" applyBorder="1"/>
    <xf numFmtId="164" fontId="3" fillId="0" borderId="0" xfId="0" applyNumberFormat="1" applyFont="1"/>
    <xf numFmtId="0" fontId="0" fillId="0" borderId="22" xfId="0" applyFill="1" applyBorder="1" applyAlignment="1">
      <alignment horizontal="right"/>
    </xf>
    <xf numFmtId="1" fontId="0" fillId="0" borderId="0" xfId="0" applyNumberFormat="1"/>
    <xf numFmtId="1" fontId="0" fillId="0" borderId="22" xfId="0" applyNumberFormat="1" applyBorder="1"/>
    <xf numFmtId="164" fontId="3" fillId="0" borderId="23" xfId="0" applyNumberFormat="1" applyFont="1" applyBorder="1"/>
    <xf numFmtId="0" fontId="13" fillId="2" borderId="23" xfId="0" applyFont="1" applyFill="1" applyBorder="1"/>
    <xf numFmtId="171" fontId="13" fillId="2" borderId="23" xfId="0" applyNumberFormat="1" applyFont="1" applyFill="1" applyBorder="1"/>
    <xf numFmtId="0" fontId="3" fillId="0" borderId="23" xfId="0" applyFont="1" applyFill="1" applyBorder="1"/>
    <xf numFmtId="171" fontId="3" fillId="0" borderId="23" xfId="0" applyNumberFormat="1" applyFont="1" applyFill="1" applyBorder="1"/>
    <xf numFmtId="170" fontId="13" fillId="2" borderId="23" xfId="0" applyNumberFormat="1" applyFont="1" applyFill="1" applyBorder="1"/>
    <xf numFmtId="170" fontId="3" fillId="0" borderId="23" xfId="0" applyNumberFormat="1" applyFont="1" applyFill="1" applyBorder="1"/>
    <xf numFmtId="2" fontId="13" fillId="2" borderId="7" xfId="0" applyNumberFormat="1" applyFont="1" applyFill="1" applyBorder="1"/>
    <xf numFmtId="0" fontId="13" fillId="2" borderId="0" xfId="0" applyFont="1" applyFill="1"/>
    <xf numFmtId="2" fontId="13" fillId="0" borderId="21" xfId="0" applyNumberFormat="1" applyFont="1" applyFill="1" applyBorder="1"/>
    <xf numFmtId="0" fontId="13" fillId="0" borderId="0" xfId="0" applyFont="1" applyFill="1"/>
    <xf numFmtId="0" fontId="7" fillId="0" borderId="0" xfId="0" applyFont="1" applyFill="1"/>
    <xf numFmtId="0" fontId="0" fillId="0" borderId="0" xfId="0" applyFill="1"/>
    <xf numFmtId="0" fontId="14" fillId="0" borderId="22" xfId="0" applyFont="1" applyBorder="1" applyAlignment="1">
      <alignment horizontal="right"/>
    </xf>
    <xf numFmtId="2" fontId="14" fillId="0" borderId="0" xfId="0" applyNumberFormat="1" applyFont="1"/>
    <xf numFmtId="2" fontId="0" fillId="0" borderId="3" xfId="0" applyNumberFormat="1" applyBorder="1"/>
    <xf numFmtId="2" fontId="0" fillId="0" borderId="11" xfId="0" applyNumberFormat="1" applyBorder="1"/>
    <xf numFmtId="164" fontId="0" fillId="4" borderId="23" xfId="0" applyNumberFormat="1" applyFill="1" applyBorder="1" applyAlignment="1">
      <alignment horizontal="center"/>
    </xf>
    <xf numFmtId="5" fontId="0" fillId="0" borderId="0" xfId="1" applyNumberFormat="1" applyFont="1"/>
    <xf numFmtId="0" fontId="0" fillId="0" borderId="0" xfId="0" applyFill="1" applyBorder="1" applyAlignment="1">
      <alignment horizontal="center"/>
    </xf>
    <xf numFmtId="0" fontId="0" fillId="0" borderId="22" xfId="0" applyBorder="1" applyAlignment="1">
      <alignment horizontal="center"/>
    </xf>
    <xf numFmtId="0" fontId="4" fillId="4" borderId="23" xfId="0" applyFont="1" applyFill="1" applyBorder="1" applyAlignment="1">
      <alignment horizontal="center"/>
    </xf>
    <xf numFmtId="0" fontId="4" fillId="0" borderId="23" xfId="0" applyFont="1" applyFill="1" applyBorder="1" applyAlignment="1">
      <alignment horizontal="center"/>
    </xf>
    <xf numFmtId="164" fontId="0" fillId="0" borderId="23" xfId="0" applyNumberFormat="1" applyFill="1" applyBorder="1" applyAlignment="1">
      <alignment horizontal="center"/>
    </xf>
    <xf numFmtId="44" fontId="0" fillId="0" borderId="22" xfId="0" applyNumberFormat="1" applyBorder="1" applyAlignment="1">
      <alignment horizontal="center"/>
    </xf>
    <xf numFmtId="0" fontId="0" fillId="0" borderId="26" xfId="0" applyBorder="1" applyAlignment="1">
      <alignment horizontal="right"/>
    </xf>
    <xf numFmtId="0" fontId="0" fillId="0" borderId="9" xfId="0" applyBorder="1"/>
    <xf numFmtId="9" fontId="0" fillId="0" borderId="27" xfId="0" applyNumberFormat="1" applyBorder="1"/>
    <xf numFmtId="9" fontId="0" fillId="0" borderId="22" xfId="0" applyNumberFormat="1" applyBorder="1"/>
    <xf numFmtId="9" fontId="0" fillId="0" borderId="13" xfId="0" applyNumberFormat="1" applyBorder="1"/>
    <xf numFmtId="0" fontId="0" fillId="0" borderId="10" xfId="0" applyBorder="1"/>
    <xf numFmtId="9" fontId="0" fillId="0" borderId="9" xfId="0" applyNumberFormat="1" applyBorder="1"/>
    <xf numFmtId="0" fontId="0" fillId="0" borderId="0" xfId="0" applyBorder="1"/>
    <xf numFmtId="3" fontId="0" fillId="0" borderId="0" xfId="0" applyNumberFormat="1" applyBorder="1"/>
    <xf numFmtId="3" fontId="0" fillId="0" borderId="5" xfId="0" applyNumberFormat="1" applyBorder="1"/>
    <xf numFmtId="167" fontId="0" fillId="0" borderId="9" xfId="0" applyNumberFormat="1" applyBorder="1"/>
    <xf numFmtId="9" fontId="0" fillId="0" borderId="28" xfId="0" applyNumberFormat="1" applyBorder="1"/>
    <xf numFmtId="3" fontId="0" fillId="0" borderId="1" xfId="0" applyNumberFormat="1" applyBorder="1"/>
    <xf numFmtId="3" fontId="0" fillId="0" borderId="29" xfId="0" applyNumberFormat="1" applyBorder="1"/>
    <xf numFmtId="167" fontId="0" fillId="0" borderId="1" xfId="0" applyNumberFormat="1" applyBorder="1"/>
    <xf numFmtId="4" fontId="0" fillId="0" borderId="0" xfId="0" applyNumberFormat="1" applyBorder="1"/>
    <xf numFmtId="4" fontId="0" fillId="0" borderId="30" xfId="0" applyNumberFormat="1" applyBorder="1"/>
    <xf numFmtId="4" fontId="0" fillId="0" borderId="5" xfId="0" applyNumberFormat="1" applyBorder="1"/>
    <xf numFmtId="4" fontId="0" fillId="0" borderId="31" xfId="0" applyNumberFormat="1" applyBorder="1"/>
    <xf numFmtId="4" fontId="0" fillId="0" borderId="1" xfId="0" applyNumberFormat="1" applyBorder="1"/>
    <xf numFmtId="4" fontId="0" fillId="0" borderId="29" xfId="0" applyNumberFormat="1" applyBorder="1"/>
    <xf numFmtId="9" fontId="0" fillId="0" borderId="0" xfId="0" applyNumberFormat="1" applyBorder="1"/>
    <xf numFmtId="9" fontId="0" fillId="0" borderId="3" xfId="0" applyNumberFormat="1" applyBorder="1"/>
    <xf numFmtId="9" fontId="0" fillId="0" borderId="0" xfId="0" applyNumberFormat="1"/>
    <xf numFmtId="3" fontId="0" fillId="0" borderId="30" xfId="0" applyNumberFormat="1" applyBorder="1"/>
    <xf numFmtId="3" fontId="0" fillId="0" borderId="31" xfId="0" applyNumberFormat="1" applyBorder="1"/>
    <xf numFmtId="0" fontId="17" fillId="0" borderId="0" xfId="0" applyFont="1" applyAlignment="1">
      <alignment horizontal="center" vertical="center" readingOrder="1"/>
    </xf>
    <xf numFmtId="1" fontId="0" fillId="0" borderId="0" xfId="0" applyNumberFormat="1" applyFill="1" applyBorder="1"/>
    <xf numFmtId="3" fontId="0" fillId="0" borderId="0" xfId="0" applyNumberFormat="1" applyFill="1" applyBorder="1"/>
    <xf numFmtId="0" fontId="17" fillId="0" borderId="0" xfId="0" applyFont="1" applyAlignment="1">
      <alignment horizontal="center" readingOrder="1"/>
    </xf>
    <xf numFmtId="3" fontId="0" fillId="0" borderId="0" xfId="0" applyNumberFormat="1"/>
    <xf numFmtId="0" fontId="3" fillId="0" borderId="0" xfId="3" applyFont="1"/>
    <xf numFmtId="0" fontId="0" fillId="0" borderId="32" xfId="0" applyBorder="1" applyAlignment="1">
      <alignment horizontal="center"/>
    </xf>
    <xf numFmtId="0" fontId="0" fillId="0" borderId="0" xfId="0" applyBorder="1" applyAlignment="1">
      <alignment horizontal="center"/>
    </xf>
    <xf numFmtId="0" fontId="12" fillId="0" borderId="0" xfId="0" applyFont="1" applyBorder="1" applyAlignment="1">
      <alignment horizontal="right"/>
    </xf>
    <xf numFmtId="0" fontId="0" fillId="0" borderId="33" xfId="0" applyBorder="1" applyAlignment="1">
      <alignment horizontal="right"/>
    </xf>
    <xf numFmtId="0" fontId="0" fillId="0" borderId="33" xfId="0" applyBorder="1"/>
    <xf numFmtId="0" fontId="14" fillId="0" borderId="33" xfId="0" applyFont="1" applyBorder="1" applyAlignment="1">
      <alignment horizontal="right"/>
    </xf>
    <xf numFmtId="0" fontId="3" fillId="0" borderId="0" xfId="0" applyFont="1" applyAlignment="1">
      <alignment horizontal="right"/>
    </xf>
    <xf numFmtId="0" fontId="0" fillId="0" borderId="0" xfId="0" quotePrefix="1" applyBorder="1"/>
    <xf numFmtId="2" fontId="4" fillId="0" borderId="0" xfId="0" applyNumberFormat="1" applyFont="1" applyBorder="1"/>
    <xf numFmtId="2" fontId="0" fillId="0" borderId="22" xfId="0" applyNumberFormat="1" applyFill="1" applyBorder="1"/>
    <xf numFmtId="0" fontId="3" fillId="0" borderId="0" xfId="0" applyFont="1" applyBorder="1" applyAlignment="1">
      <alignment horizontal="left"/>
    </xf>
    <xf numFmtId="4" fontId="0" fillId="0" borderId="0" xfId="0" applyNumberFormat="1"/>
    <xf numFmtId="4" fontId="0" fillId="0" borderId="22" xfId="0" applyNumberFormat="1" applyBorder="1"/>
    <xf numFmtId="2" fontId="14" fillId="5" borderId="0" xfId="0" applyNumberFormat="1" applyFont="1" applyFill="1"/>
    <xf numFmtId="1" fontId="0" fillId="5" borderId="0" xfId="0" applyNumberFormat="1" applyFill="1"/>
    <xf numFmtId="0" fontId="0" fillId="0" borderId="0" xfId="0" applyBorder="1" applyAlignment="1">
      <alignment horizontal="center" wrapText="1"/>
    </xf>
    <xf numFmtId="0" fontId="0" fillId="0" borderId="32" xfId="0" applyBorder="1" applyAlignment="1">
      <alignment horizontal="center" wrapText="1"/>
    </xf>
    <xf numFmtId="5" fontId="0" fillId="0" borderId="0" xfId="1" applyNumberFormat="1" applyFont="1" applyFill="1" applyBorder="1"/>
    <xf numFmtId="5" fontId="0" fillId="4" borderId="23" xfId="1" applyNumberFormat="1" applyFont="1" applyFill="1" applyBorder="1" applyAlignment="1">
      <alignment horizontal="center"/>
    </xf>
    <xf numFmtId="5" fontId="0" fillId="0" borderId="23" xfId="1" applyNumberFormat="1" applyFont="1" applyFill="1" applyBorder="1" applyAlignment="1">
      <alignment horizontal="center"/>
    </xf>
    <xf numFmtId="0" fontId="0" fillId="0" borderId="2" xfId="0" applyFill="1" applyBorder="1" applyAlignment="1">
      <alignment horizontal="center"/>
    </xf>
    <xf numFmtId="5" fontId="0" fillId="4" borderId="23" xfId="0" applyNumberFormat="1" applyFill="1" applyBorder="1" applyAlignment="1">
      <alignment horizontal="center"/>
    </xf>
    <xf numFmtId="5" fontId="0" fillId="0" borderId="23" xfId="0" applyNumberFormat="1" applyFill="1" applyBorder="1" applyAlignment="1">
      <alignment horizontal="center"/>
    </xf>
    <xf numFmtId="0" fontId="3" fillId="0" borderId="0" xfId="0" applyFont="1" applyBorder="1" applyAlignment="1">
      <alignment horizontal="right"/>
    </xf>
    <xf numFmtId="164" fontId="0" fillId="0" borderId="0" xfId="0" applyNumberFormat="1" applyFill="1" applyBorder="1" applyAlignment="1">
      <alignment horizontal="center"/>
    </xf>
    <xf numFmtId="5" fontId="0" fillId="0" borderId="0" xfId="0" applyNumberFormat="1" applyFill="1" applyBorder="1" applyAlignment="1">
      <alignment horizontal="center"/>
    </xf>
    <xf numFmtId="5" fontId="0" fillId="0" borderId="0" xfId="1" applyNumberFormat="1" applyFont="1" applyFill="1" applyBorder="1" applyAlignment="1">
      <alignment horizontal="center"/>
    </xf>
    <xf numFmtId="0" fontId="4" fillId="0" borderId="0" xfId="0" applyFont="1" applyFill="1" applyBorder="1" applyAlignment="1">
      <alignment horizontal="center"/>
    </xf>
    <xf numFmtId="0" fontId="3" fillId="0" borderId="0" xfId="0" applyFont="1" applyBorder="1" applyAlignment="1"/>
    <xf numFmtId="0" fontId="3" fillId="0" borderId="24" xfId="0" applyFont="1" applyBorder="1" applyAlignment="1">
      <alignment horizontal="right"/>
    </xf>
    <xf numFmtId="167" fontId="4" fillId="0" borderId="24" xfId="0" applyNumberFormat="1" applyFont="1" applyBorder="1"/>
    <xf numFmtId="0" fontId="0" fillId="0" borderId="24" xfId="0" applyBorder="1" applyAlignment="1">
      <alignment horizontal="left"/>
    </xf>
    <xf numFmtId="168" fontId="0" fillId="0" borderId="3" xfId="0" applyNumberFormat="1" applyBorder="1"/>
    <xf numFmtId="168" fontId="0" fillId="0" borderId="27" xfId="0" applyNumberFormat="1" applyBorder="1"/>
    <xf numFmtId="168" fontId="0" fillId="0" borderId="11" xfId="0" applyNumberFormat="1" applyBorder="1"/>
    <xf numFmtId="0" fontId="12" fillId="0" borderId="22" xfId="0" applyFont="1" applyBorder="1" applyAlignment="1">
      <alignment horizontal="right"/>
    </xf>
    <xf numFmtId="0" fontId="10" fillId="0" borderId="26" xfId="0" applyFont="1" applyBorder="1" applyAlignment="1">
      <alignment horizontal="right"/>
    </xf>
    <xf numFmtId="168" fontId="0" fillId="0" borderId="33" xfId="0" applyNumberFormat="1" applyBorder="1"/>
    <xf numFmtId="168" fontId="0" fillId="0" borderId="26" xfId="0" applyNumberFormat="1" applyBorder="1"/>
    <xf numFmtId="2" fontId="18" fillId="0" borderId="0" xfId="0" applyNumberFormat="1" applyFont="1" applyBorder="1"/>
    <xf numFmtId="0" fontId="18" fillId="0" borderId="0" xfId="0" quotePrefix="1" applyFont="1" applyBorder="1"/>
    <xf numFmtId="4" fontId="0" fillId="0" borderId="0" xfId="0" applyNumberFormat="1" applyFill="1" applyBorder="1"/>
    <xf numFmtId="164" fontId="0" fillId="0" borderId="0" xfId="0" applyNumberFormat="1" applyAlignment="1">
      <alignment horizontal="right"/>
    </xf>
    <xf numFmtId="166" fontId="0" fillId="0" borderId="0" xfId="0" applyNumberFormat="1" applyBorder="1"/>
    <xf numFmtId="0" fontId="0" fillId="0" borderId="34" xfId="0" applyBorder="1" applyAlignment="1"/>
    <xf numFmtId="0" fontId="3" fillId="0" borderId="8" xfId="0" applyFont="1" applyBorder="1" applyAlignment="1">
      <alignment horizontal="right"/>
    </xf>
    <xf numFmtId="44" fontId="19" fillId="0" borderId="35" xfId="1" applyFont="1" applyBorder="1"/>
    <xf numFmtId="0" fontId="0" fillId="0" borderId="36" xfId="0" applyBorder="1" applyAlignment="1"/>
    <xf numFmtId="44" fontId="4" fillId="0" borderId="5" xfId="0" applyNumberFormat="1" applyFont="1" applyBorder="1"/>
    <xf numFmtId="0" fontId="0" fillId="0" borderId="36" xfId="0" applyBorder="1"/>
    <xf numFmtId="164" fontId="4" fillId="0" borderId="5" xfId="0" applyNumberFormat="1" applyFont="1" applyBorder="1"/>
    <xf numFmtId="164" fontId="19" fillId="0" borderId="5" xfId="0" applyNumberFormat="1" applyFont="1" applyBorder="1"/>
    <xf numFmtId="164" fontId="3" fillId="0" borderId="5" xfId="0" applyNumberFormat="1" applyFont="1" applyBorder="1"/>
    <xf numFmtId="0" fontId="3" fillId="0" borderId="0" xfId="0" applyFont="1" applyBorder="1" applyAlignment="1">
      <alignment wrapText="1"/>
    </xf>
    <xf numFmtId="0" fontId="19" fillId="0" borderId="29" xfId="0" quotePrefix="1" applyFont="1" applyBorder="1"/>
    <xf numFmtId="0" fontId="0" fillId="0" borderId="37" xfId="0" applyBorder="1"/>
    <xf numFmtId="0" fontId="0" fillId="0" borderId="27" xfId="0" applyBorder="1"/>
    <xf numFmtId="0" fontId="0" fillId="0" borderId="32" xfId="0" applyBorder="1"/>
    <xf numFmtId="0" fontId="0" fillId="0" borderId="32" xfId="0" applyBorder="1" applyAlignment="1">
      <alignment horizontal="right"/>
    </xf>
    <xf numFmtId="0" fontId="3" fillId="0" borderId="11" xfId="0" applyFont="1" applyBorder="1" applyAlignment="1">
      <alignment horizontal="right"/>
    </xf>
    <xf numFmtId="0" fontId="3" fillId="0" borderId="26" xfId="0" applyFont="1" applyBorder="1" applyAlignment="1">
      <alignment horizontal="right"/>
    </xf>
    <xf numFmtId="0" fontId="3" fillId="0" borderId="3" xfId="0" applyFont="1" applyBorder="1" applyAlignment="1">
      <alignment horizontal="right"/>
    </xf>
    <xf numFmtId="0" fontId="0" fillId="5" borderId="11" xfId="0" applyFill="1" applyBorder="1"/>
    <xf numFmtId="0" fontId="0" fillId="5" borderId="3" xfId="0" applyFill="1" applyBorder="1"/>
    <xf numFmtId="1" fontId="0" fillId="5" borderId="22" xfId="0" applyNumberFormat="1" applyFill="1" applyBorder="1"/>
    <xf numFmtId="2" fontId="14" fillId="5" borderId="22" xfId="0" applyNumberFormat="1" applyFont="1" applyFill="1" applyBorder="1"/>
    <xf numFmtId="0" fontId="11" fillId="0" borderId="22" xfId="0" applyFont="1" applyBorder="1" applyAlignment="1">
      <alignment horizontal="right"/>
    </xf>
    <xf numFmtId="9" fontId="0" fillId="0" borderId="22" xfId="0" applyNumberFormat="1" applyBorder="1" applyAlignment="1">
      <alignment horizontal="right"/>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9" xfId="0" applyNumberFormat="1" applyBorder="1" applyAlignment="1">
      <alignment horizontal="center" vertical="top" wrapText="1"/>
    </xf>
    <xf numFmtId="0" fontId="0" fillId="0" borderId="43" xfId="0" applyNumberFormat="1" applyBorder="1" applyAlignment="1">
      <alignment horizontal="center" vertical="top" wrapText="1"/>
    </xf>
    <xf numFmtId="0" fontId="2" fillId="0" borderId="0" xfId="2" quotePrefix="1" applyNumberFormat="1" applyAlignment="1" applyProtection="1">
      <alignment horizontal="center" vertical="top" wrapText="1"/>
    </xf>
    <xf numFmtId="0" fontId="0" fillId="0" borderId="44" xfId="0" applyNumberFormat="1" applyBorder="1" applyAlignment="1">
      <alignment horizontal="center" vertical="top" wrapText="1"/>
    </xf>
    <xf numFmtId="0" fontId="0" fillId="0" borderId="42" xfId="0" applyNumberFormat="1" applyBorder="1" applyAlignment="1">
      <alignment horizontal="center" vertical="top" wrapText="1"/>
    </xf>
    <xf numFmtId="0" fontId="2" fillId="0" borderId="42" xfId="2" quotePrefix="1" applyNumberFormat="1" applyBorder="1" applyAlignment="1" applyProtection="1">
      <alignment horizontal="center" vertical="top" wrapText="1"/>
    </xf>
    <xf numFmtId="0" fontId="0" fillId="0" borderId="45" xfId="0" applyNumberFormat="1" applyBorder="1" applyAlignment="1">
      <alignment horizontal="center" vertical="top" wrapText="1"/>
    </xf>
    <xf numFmtId="0" fontId="0" fillId="0" borderId="11" xfId="0" applyBorder="1" applyAlignment="1">
      <alignment horizontal="center"/>
    </xf>
    <xf numFmtId="44" fontId="0" fillId="0" borderId="0" xfId="1" applyFont="1"/>
    <xf numFmtId="44" fontId="0" fillId="0" borderId="0" xfId="0" applyNumberFormat="1"/>
    <xf numFmtId="0" fontId="20" fillId="4" borderId="23" xfId="0" applyFont="1" applyFill="1" applyBorder="1" applyAlignment="1">
      <alignment horizontal="center"/>
    </xf>
    <xf numFmtId="0" fontId="20" fillId="0" borderId="23" xfId="0" applyFont="1" applyFill="1" applyBorder="1" applyAlignment="1">
      <alignment horizontal="center"/>
    </xf>
    <xf numFmtId="44" fontId="0" fillId="0" borderId="22" xfId="1" applyFont="1" applyBorder="1"/>
    <xf numFmtId="0" fontId="0" fillId="0" borderId="3" xfId="0" applyBorder="1" applyAlignment="1">
      <alignment horizontal="center"/>
    </xf>
    <xf numFmtId="44" fontId="0" fillId="0" borderId="0" xfId="1" applyNumberFormat="1" applyFont="1"/>
    <xf numFmtId="0" fontId="0" fillId="0" borderId="23" xfId="0" applyBorder="1" applyAlignment="1">
      <alignment horizontal="center" wrapText="1"/>
    </xf>
    <xf numFmtId="0" fontId="3" fillId="0" borderId="37" xfId="0" applyFont="1" applyBorder="1" applyAlignment="1">
      <alignment horizontal="center" wrapText="1"/>
    </xf>
    <xf numFmtId="0" fontId="0" fillId="0" borderId="32" xfId="0" applyBorder="1" applyAlignment="1">
      <alignment horizontal="center" wrapText="1"/>
    </xf>
    <xf numFmtId="0" fontId="0" fillId="0" borderId="27" xfId="0" applyBorder="1" applyAlignment="1">
      <alignment horizontal="center" wrapText="1"/>
    </xf>
    <xf numFmtId="0" fontId="0" fillId="0" borderId="24" xfId="0" applyBorder="1" applyAlignment="1">
      <alignment horizontal="center"/>
    </xf>
    <xf numFmtId="0" fontId="0" fillId="0" borderId="46" xfId="0" applyBorder="1" applyAlignment="1">
      <alignment horizontal="center"/>
    </xf>
    <xf numFmtId="0" fontId="3" fillId="0" borderId="33"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2" xfId="0" applyFont="1" applyBorder="1" applyAlignment="1">
      <alignment horizontal="center" wrapText="1"/>
    </xf>
    <xf numFmtId="0" fontId="3" fillId="0" borderId="11" xfId="0" applyFont="1" applyBorder="1" applyAlignment="1">
      <alignment horizontal="center" wrapText="1"/>
    </xf>
    <xf numFmtId="0" fontId="12" fillId="0" borderId="37" xfId="0" applyFont="1" applyBorder="1" applyAlignment="1">
      <alignment horizontal="center" wrapText="1"/>
    </xf>
    <xf numFmtId="0" fontId="12" fillId="0" borderId="33"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22" xfId="0" applyFont="1" applyBorder="1" applyAlignment="1">
      <alignment horizontal="center" wrapText="1"/>
    </xf>
    <xf numFmtId="0" fontId="12" fillId="0" borderId="11" xfId="0" applyFont="1" applyBorder="1" applyAlignment="1">
      <alignment horizontal="center" wrapText="1"/>
    </xf>
    <xf numFmtId="0" fontId="3" fillId="0" borderId="37" xfId="0" applyFont="1"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4" xfId="0" applyBorder="1" applyAlignment="1">
      <alignment horizontal="center" wrapText="1"/>
    </xf>
    <xf numFmtId="0" fontId="0" fillId="0" borderId="2" xfId="0" applyBorder="1" applyAlignment="1">
      <alignment horizontal="center" wrapText="1"/>
    </xf>
    <xf numFmtId="0" fontId="0" fillId="0" borderId="12" xfId="0" applyBorder="1" applyAlignment="1">
      <alignment horizontal="center" wrapText="1"/>
    </xf>
    <xf numFmtId="0" fontId="3" fillId="0" borderId="36" xfId="0" applyFont="1" applyBorder="1" applyAlignment="1">
      <alignment horizontal="center" wrapText="1"/>
    </xf>
    <xf numFmtId="0" fontId="0" fillId="0" borderId="0" xfId="0" applyBorder="1" applyAlignment="1">
      <alignment horizontal="center" wrapText="1"/>
    </xf>
    <xf numFmtId="0" fontId="0" fillId="0" borderId="36" xfId="0" applyBorder="1" applyAlignment="1">
      <alignment horizontal="center" wrapText="1"/>
    </xf>
    <xf numFmtId="0" fontId="0" fillId="0" borderId="47" xfId="0" applyBorder="1" applyAlignment="1">
      <alignment horizontal="center" wrapText="1"/>
    </xf>
    <xf numFmtId="0" fontId="0" fillId="0" borderId="1" xfId="0" applyBorder="1" applyAlignment="1">
      <alignment horizontal="center" wrapText="1"/>
    </xf>
    <xf numFmtId="0" fontId="0" fillId="0" borderId="33" xfId="0" applyBorder="1" applyAlignment="1">
      <alignment horizontal="center" wrapText="1"/>
    </xf>
    <xf numFmtId="0" fontId="0" fillId="0" borderId="26" xfId="0" applyBorder="1" applyAlignment="1">
      <alignment horizontal="center" wrapText="1"/>
    </xf>
    <xf numFmtId="0" fontId="0" fillId="0" borderId="22" xfId="0" applyBorder="1" applyAlignment="1">
      <alignment horizontal="center" wrapText="1"/>
    </xf>
    <xf numFmtId="0" fontId="0" fillId="0" borderId="11" xfId="0" applyBorder="1" applyAlignment="1">
      <alignment horizontal="center" wrapText="1"/>
    </xf>
    <xf numFmtId="0" fontId="0" fillId="0" borderId="22"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3" fillId="0" borderId="32"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8"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0" fillId="0" borderId="11" xfId="0" applyBorder="1" applyAlignment="1">
      <alignment horizontal="center"/>
    </xf>
    <xf numFmtId="0" fontId="0" fillId="0" borderId="22"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left"/>
    </xf>
    <xf numFmtId="0" fontId="0" fillId="0" borderId="13" xfId="0" applyBorder="1" applyAlignment="1">
      <alignment horizont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4"/>
          <c:order val="0"/>
          <c:tx>
            <c:strRef>
              <c:f>Main!$U$37</c:f>
              <c:strCache>
                <c:ptCount val="1"/>
                <c:pt idx="0">
                  <c:v>8% HL</c:v>
                </c:pt>
              </c:strCache>
            </c:strRef>
          </c:tx>
          <c:xVal>
            <c:numRef>
              <c:f>Main!$P$38:$P$42</c:f>
              <c:numCache>
                <c:formatCode>General</c:formatCode>
                <c:ptCount val="5"/>
                <c:pt idx="0">
                  <c:v>100</c:v>
                </c:pt>
                <c:pt idx="1">
                  <c:v>125</c:v>
                </c:pt>
                <c:pt idx="2">
                  <c:v>150</c:v>
                </c:pt>
                <c:pt idx="3">
                  <c:v>175</c:v>
                </c:pt>
                <c:pt idx="4">
                  <c:v>200</c:v>
                </c:pt>
              </c:numCache>
            </c:numRef>
          </c:xVal>
          <c:yVal>
            <c:numRef>
              <c:f>Main!$U$38:$U$42</c:f>
              <c:numCache>
                <c:formatCode>_("$"* #,##0.00_);_("$"* \(#,##0.00\);_("$"* "-"??_);_(@_)</c:formatCode>
                <c:ptCount val="5"/>
                <c:pt idx="0">
                  <c:v>28.8</c:v>
                </c:pt>
                <c:pt idx="1">
                  <c:v>36</c:v>
                </c:pt>
                <c:pt idx="2">
                  <c:v>43.2</c:v>
                </c:pt>
                <c:pt idx="3">
                  <c:v>50.4</c:v>
                </c:pt>
                <c:pt idx="4">
                  <c:v>57.6</c:v>
                </c:pt>
              </c:numCache>
            </c:numRef>
          </c:yVal>
          <c:smooth val="0"/>
          <c:extLst>
            <c:ext xmlns:c16="http://schemas.microsoft.com/office/drawing/2014/chart" uri="{C3380CC4-5D6E-409C-BE32-E72D297353CC}">
              <c16:uniqueId val="{00000000-4E24-4C80-A10E-EEBE9042BE3A}"/>
            </c:ext>
          </c:extLst>
        </c:ser>
        <c:ser>
          <c:idx val="5"/>
          <c:order val="1"/>
          <c:tx>
            <c:strRef>
              <c:f>Main!$V$37</c:f>
              <c:strCache>
                <c:ptCount val="1"/>
                <c:pt idx="0">
                  <c:v>15 pts</c:v>
                </c:pt>
              </c:strCache>
            </c:strRef>
          </c:tx>
          <c:marker>
            <c:spPr>
              <a:noFill/>
            </c:spPr>
          </c:marker>
          <c:xVal>
            <c:numRef>
              <c:f>Main!$P$38:$P$42</c:f>
              <c:numCache>
                <c:formatCode>General</c:formatCode>
                <c:ptCount val="5"/>
                <c:pt idx="0">
                  <c:v>100</c:v>
                </c:pt>
                <c:pt idx="1">
                  <c:v>125</c:v>
                </c:pt>
                <c:pt idx="2">
                  <c:v>150</c:v>
                </c:pt>
                <c:pt idx="3">
                  <c:v>175</c:v>
                </c:pt>
                <c:pt idx="4">
                  <c:v>200</c:v>
                </c:pt>
              </c:numCache>
            </c:numRef>
          </c:xVal>
          <c:yVal>
            <c:numRef>
              <c:f>Main!$V$38:$V$42</c:f>
              <c:numCache>
                <c:formatCode>_("$"* #,##0.00_);_("$"* \(#,##0.00\);_("$"* "-"??_);_(@_)</c:formatCode>
                <c:ptCount val="5"/>
                <c:pt idx="0">
                  <c:v>19.850392706872373</c:v>
                </c:pt>
                <c:pt idx="1">
                  <c:v>24.812990883590469</c:v>
                </c:pt>
                <c:pt idx="2">
                  <c:v>29.775589060308562</c:v>
                </c:pt>
                <c:pt idx="3">
                  <c:v>34.738187237026658</c:v>
                </c:pt>
                <c:pt idx="4">
                  <c:v>39.700785413744747</c:v>
                </c:pt>
              </c:numCache>
            </c:numRef>
          </c:yVal>
          <c:smooth val="0"/>
          <c:extLst>
            <c:ext xmlns:c16="http://schemas.microsoft.com/office/drawing/2014/chart" uri="{C3380CC4-5D6E-409C-BE32-E72D297353CC}">
              <c16:uniqueId val="{00000005-4E24-4C80-A10E-EEBE9042BE3A}"/>
            </c:ext>
          </c:extLst>
        </c:ser>
        <c:ser>
          <c:idx val="3"/>
          <c:order val="2"/>
          <c:tx>
            <c:strRef>
              <c:f>Main!$T$37</c:f>
              <c:strCache>
                <c:ptCount val="1"/>
                <c:pt idx="0">
                  <c:v>10 pts</c:v>
                </c:pt>
              </c:strCache>
            </c:strRef>
          </c:tx>
          <c:spPr>
            <a:ln>
              <a:prstDash val="dash"/>
            </a:ln>
          </c:spPr>
          <c:xVal>
            <c:numRef>
              <c:f>Main!$P$38:$P$42</c:f>
              <c:numCache>
                <c:formatCode>General</c:formatCode>
                <c:ptCount val="5"/>
                <c:pt idx="0">
                  <c:v>100</c:v>
                </c:pt>
                <c:pt idx="1">
                  <c:v>125</c:v>
                </c:pt>
                <c:pt idx="2">
                  <c:v>150</c:v>
                </c:pt>
                <c:pt idx="3">
                  <c:v>175</c:v>
                </c:pt>
                <c:pt idx="4">
                  <c:v>200</c:v>
                </c:pt>
              </c:numCache>
            </c:numRef>
          </c:xVal>
          <c:yVal>
            <c:numRef>
              <c:f>Main!$T$38:$T$42</c:f>
              <c:numCache>
                <c:formatCode>_("$"* #,##0.00_);_("$"* \(#,##0.00\);_("$"* "-"??_);_(@_)</c:formatCode>
                <c:ptCount val="5"/>
                <c:pt idx="0">
                  <c:v>15.275670095059999</c:v>
                </c:pt>
                <c:pt idx="1">
                  <c:v>19.094587618824999</c:v>
                </c:pt>
                <c:pt idx="2">
                  <c:v>22.913505142589997</c:v>
                </c:pt>
                <c:pt idx="3">
                  <c:v>26.732422666354996</c:v>
                </c:pt>
                <c:pt idx="4">
                  <c:v>30.551340190119998</c:v>
                </c:pt>
              </c:numCache>
            </c:numRef>
          </c:yVal>
          <c:smooth val="0"/>
          <c:extLst>
            <c:ext xmlns:c16="http://schemas.microsoft.com/office/drawing/2014/chart" uri="{C3380CC4-5D6E-409C-BE32-E72D297353CC}">
              <c16:uniqueId val="{00000001-4E24-4C80-A10E-EEBE9042BE3A}"/>
            </c:ext>
          </c:extLst>
        </c:ser>
        <c:ser>
          <c:idx val="2"/>
          <c:order val="3"/>
          <c:tx>
            <c:strRef>
              <c:f>Main!$S$37</c:f>
              <c:strCache>
                <c:ptCount val="1"/>
                <c:pt idx="0">
                  <c:v>5% HL</c:v>
                </c:pt>
              </c:strCache>
            </c:strRef>
          </c:tx>
          <c:marker>
            <c:spPr>
              <a:noFill/>
            </c:spPr>
          </c:marker>
          <c:xVal>
            <c:numRef>
              <c:f>Main!$P$38:$P$42</c:f>
              <c:numCache>
                <c:formatCode>General</c:formatCode>
                <c:ptCount val="5"/>
                <c:pt idx="0">
                  <c:v>100</c:v>
                </c:pt>
                <c:pt idx="1">
                  <c:v>125</c:v>
                </c:pt>
                <c:pt idx="2">
                  <c:v>150</c:v>
                </c:pt>
                <c:pt idx="3">
                  <c:v>175</c:v>
                </c:pt>
                <c:pt idx="4">
                  <c:v>200</c:v>
                </c:pt>
              </c:numCache>
            </c:numRef>
          </c:xVal>
          <c:yVal>
            <c:numRef>
              <c:f>Main!$S$38:$S$42</c:f>
              <c:numCache>
                <c:formatCode>_("$"* #,##0.00_);_("$"* \(#,##0.00\);_("$"* "-"??_);_(@_)</c:formatCode>
                <c:ptCount val="5"/>
                <c:pt idx="0">
                  <c:v>18</c:v>
                </c:pt>
                <c:pt idx="1">
                  <c:v>22.5</c:v>
                </c:pt>
                <c:pt idx="2">
                  <c:v>27</c:v>
                </c:pt>
                <c:pt idx="3">
                  <c:v>31.5</c:v>
                </c:pt>
                <c:pt idx="4">
                  <c:v>36</c:v>
                </c:pt>
              </c:numCache>
            </c:numRef>
          </c:yVal>
          <c:smooth val="0"/>
          <c:extLst>
            <c:ext xmlns:c16="http://schemas.microsoft.com/office/drawing/2014/chart" uri="{C3380CC4-5D6E-409C-BE32-E72D297353CC}">
              <c16:uniqueId val="{00000002-4E24-4C80-A10E-EEBE9042BE3A}"/>
            </c:ext>
          </c:extLst>
        </c:ser>
        <c:ser>
          <c:idx val="1"/>
          <c:order val="4"/>
          <c:tx>
            <c:strRef>
              <c:f>Main!$R$37</c:f>
              <c:strCache>
                <c:ptCount val="1"/>
                <c:pt idx="0">
                  <c:v>5 pts</c:v>
                </c:pt>
              </c:strCache>
            </c:strRef>
          </c:tx>
          <c:spPr>
            <a:ln>
              <a:prstDash val="dash"/>
            </a:ln>
          </c:spPr>
          <c:marker>
            <c:spPr>
              <a:noFill/>
              <a:ln>
                <a:prstDash val="dash"/>
              </a:ln>
            </c:spPr>
          </c:marker>
          <c:xVal>
            <c:numRef>
              <c:f>Main!$P$38:$P$42</c:f>
              <c:numCache>
                <c:formatCode>General</c:formatCode>
                <c:ptCount val="5"/>
                <c:pt idx="0">
                  <c:v>100</c:v>
                </c:pt>
                <c:pt idx="1">
                  <c:v>125</c:v>
                </c:pt>
                <c:pt idx="2">
                  <c:v>150</c:v>
                </c:pt>
                <c:pt idx="3">
                  <c:v>175</c:v>
                </c:pt>
                <c:pt idx="4">
                  <c:v>200</c:v>
                </c:pt>
              </c:numCache>
            </c:numRef>
          </c:xVal>
          <c:yVal>
            <c:numRef>
              <c:f>Main!$R$38:$R$42</c:f>
              <c:numCache>
                <c:formatCode>_("$"* #,##0.00_);_("$"* \(#,##0.00\);_("$"* "-"??_);_(@_)</c:formatCode>
                <c:ptCount val="5"/>
                <c:pt idx="0">
                  <c:v>9.0135717625058405</c:v>
                </c:pt>
                <c:pt idx="1">
                  <c:v>11.266964703132301</c:v>
                </c:pt>
                <c:pt idx="2">
                  <c:v>13.520357643758759</c:v>
                </c:pt>
                <c:pt idx="3">
                  <c:v>15.773750584385219</c:v>
                </c:pt>
                <c:pt idx="4">
                  <c:v>18.027143525011681</c:v>
                </c:pt>
              </c:numCache>
            </c:numRef>
          </c:yVal>
          <c:smooth val="0"/>
          <c:extLst>
            <c:ext xmlns:c16="http://schemas.microsoft.com/office/drawing/2014/chart" uri="{C3380CC4-5D6E-409C-BE32-E72D297353CC}">
              <c16:uniqueId val="{00000003-4E24-4C80-A10E-EEBE9042BE3A}"/>
            </c:ext>
          </c:extLst>
        </c:ser>
        <c:ser>
          <c:idx val="0"/>
          <c:order val="5"/>
          <c:tx>
            <c:strRef>
              <c:f>Main!$Q$37</c:f>
              <c:strCache>
                <c:ptCount val="1"/>
                <c:pt idx="0">
                  <c:v>2% HL</c:v>
                </c:pt>
              </c:strCache>
            </c:strRef>
          </c:tx>
          <c:xVal>
            <c:numRef>
              <c:f>Main!$P$38:$P$42</c:f>
              <c:numCache>
                <c:formatCode>General</c:formatCode>
                <c:ptCount val="5"/>
                <c:pt idx="0">
                  <c:v>100</c:v>
                </c:pt>
                <c:pt idx="1">
                  <c:v>125</c:v>
                </c:pt>
                <c:pt idx="2">
                  <c:v>150</c:v>
                </c:pt>
                <c:pt idx="3">
                  <c:v>175</c:v>
                </c:pt>
                <c:pt idx="4">
                  <c:v>200</c:v>
                </c:pt>
              </c:numCache>
            </c:numRef>
          </c:xVal>
          <c:yVal>
            <c:numRef>
              <c:f>Main!$Q$38:$Q$42</c:f>
              <c:numCache>
                <c:formatCode>_("$"* #,##0.00_);_("$"* \(#,##0.00\);_("$"* "-"??_);_(@_)</c:formatCode>
                <c:ptCount val="5"/>
                <c:pt idx="0">
                  <c:v>7.2</c:v>
                </c:pt>
                <c:pt idx="1">
                  <c:v>9</c:v>
                </c:pt>
                <c:pt idx="2">
                  <c:v>10.8</c:v>
                </c:pt>
                <c:pt idx="3">
                  <c:v>12.6</c:v>
                </c:pt>
                <c:pt idx="4">
                  <c:v>14.4</c:v>
                </c:pt>
              </c:numCache>
            </c:numRef>
          </c:yVal>
          <c:smooth val="0"/>
          <c:extLst>
            <c:ext xmlns:c16="http://schemas.microsoft.com/office/drawing/2014/chart" uri="{C3380CC4-5D6E-409C-BE32-E72D297353CC}">
              <c16:uniqueId val="{00000004-4E24-4C80-A10E-EEBE9042BE3A}"/>
            </c:ext>
          </c:extLst>
        </c:ser>
        <c:dLbls>
          <c:showLegendKey val="0"/>
          <c:showVal val="0"/>
          <c:showCatName val="0"/>
          <c:showSerName val="0"/>
          <c:showPercent val="0"/>
          <c:showBubbleSize val="0"/>
        </c:dLbls>
        <c:axId val="376809280"/>
        <c:axId val="1"/>
      </c:scatterChart>
      <c:valAx>
        <c:axId val="376809280"/>
        <c:scaling>
          <c:orientation val="minMax"/>
          <c:min val="50"/>
        </c:scaling>
        <c:delete val="0"/>
        <c:axPos val="b"/>
        <c:title>
          <c:tx>
            <c:rich>
              <a:bodyPr/>
              <a:lstStyle/>
              <a:p>
                <a:pPr>
                  <a:defRPr sz="1800"/>
                </a:pPr>
                <a:r>
                  <a:rPr lang="en-US" sz="1800"/>
                  <a:t>Yield, bu/ac</a:t>
                </a:r>
              </a:p>
            </c:rich>
          </c:tx>
          <c:layout/>
          <c:overlay val="0"/>
        </c:title>
        <c:numFmt formatCode="General" sourceLinked="1"/>
        <c:majorTickMark val="out"/>
        <c:minorTickMark val="out"/>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crossBetween val="midCat"/>
        <c:minorUnit val="25"/>
      </c:valAx>
      <c:valAx>
        <c:axId val="1"/>
        <c:scaling>
          <c:orientation val="minMax"/>
        </c:scaling>
        <c:delete val="0"/>
        <c:axPos val="l"/>
        <c:majorGridlines>
          <c:spPr>
            <a:ln>
              <a:solidFill>
                <a:schemeClr val="accent1"/>
              </a:solidFill>
            </a:ln>
          </c:spPr>
        </c:majorGridlines>
        <c:title>
          <c:tx>
            <c:rich>
              <a:bodyPr/>
              <a:lstStyle/>
              <a:p>
                <a:pPr>
                  <a:defRPr sz="1800"/>
                </a:pPr>
                <a:r>
                  <a:rPr lang="en-US" sz="1800"/>
                  <a:t>Cost, $/ac</a:t>
                </a:r>
              </a:p>
            </c:rich>
          </c:tx>
          <c:layout/>
          <c:overlay val="0"/>
        </c:title>
        <c:numFmt formatCode="\$#,##0" sourceLinked="0"/>
        <c:majorTickMark val="out"/>
        <c:minorTickMark val="none"/>
        <c:tickLblPos val="nextTo"/>
        <c:txPr>
          <a:bodyPr/>
          <a:lstStyle/>
          <a:p>
            <a:pPr>
              <a:defRPr sz="1200" b="1"/>
            </a:pPr>
            <a:endParaRPr lang="en-US"/>
          </a:p>
        </c:txPr>
        <c:crossAx val="376809280"/>
        <c:crosses val="autoZero"/>
        <c:crossBetween val="midCat"/>
      </c:valAx>
      <c:spPr>
        <a:ln>
          <a:solidFill>
            <a:schemeClr val="accent1"/>
          </a:solidFill>
        </a:ln>
      </c:spPr>
    </c:plotArea>
    <c:legend>
      <c:legendPos val="r"/>
      <c:layout>
        <c:manualLayout>
          <c:xMode val="edge"/>
          <c:yMode val="edge"/>
          <c:x val="0.79612467191601044"/>
          <c:y val="0.21402158063575386"/>
          <c:w val="0.18720866141732284"/>
          <c:h val="0.5695428696412948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CF Dryer Performance</a:t>
            </a:r>
          </a:p>
        </c:rich>
      </c:tx>
      <c:layout>
        <c:manualLayout>
          <c:xMode val="edge"/>
          <c:yMode val="edge"/>
          <c:x val="0.31991128708155336"/>
          <c:y val="3.678929765886288E-2"/>
        </c:manualLayout>
      </c:layout>
      <c:overlay val="0"/>
      <c:spPr>
        <a:noFill/>
        <a:ln w="25400">
          <a:noFill/>
        </a:ln>
      </c:spPr>
    </c:title>
    <c:autoTitleDeleted val="0"/>
    <c:plotArea>
      <c:layout>
        <c:manualLayout>
          <c:layoutTarget val="inner"/>
          <c:xMode val="edge"/>
          <c:yMode val="edge"/>
          <c:x val="0.14317704658016678"/>
          <c:y val="0.22073578595317725"/>
          <c:w val="0.59060531714318798"/>
          <c:h val="0.55518394648829428"/>
        </c:manualLayout>
      </c:layout>
      <c:scatterChart>
        <c:scatterStyle val="smoothMarker"/>
        <c:varyColors val="0"/>
        <c:ser>
          <c:idx val="0"/>
          <c:order val="0"/>
          <c:tx>
            <c:strRef>
              <c:f>Drying!$C$10</c:f>
              <c:strCache>
                <c:ptCount val="1"/>
                <c:pt idx="0">
                  <c:v>kBtu/bu</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Drying!$A$11:$A$23</c:f>
              <c:numCache>
                <c:formatCode>General</c:formatCode>
                <c:ptCount val="13"/>
                <c:pt idx="0">
                  <c:v>18</c:v>
                </c:pt>
                <c:pt idx="1">
                  <c:v>19</c:v>
                </c:pt>
                <c:pt idx="2">
                  <c:v>20</c:v>
                </c:pt>
                <c:pt idx="3">
                  <c:v>21</c:v>
                </c:pt>
                <c:pt idx="4">
                  <c:v>22</c:v>
                </c:pt>
                <c:pt idx="5">
                  <c:v>23</c:v>
                </c:pt>
                <c:pt idx="6">
                  <c:v>24</c:v>
                </c:pt>
                <c:pt idx="7">
                  <c:v>25</c:v>
                </c:pt>
                <c:pt idx="8">
                  <c:v>26</c:v>
                </c:pt>
                <c:pt idx="9">
                  <c:v>27</c:v>
                </c:pt>
                <c:pt idx="10">
                  <c:v>28</c:v>
                </c:pt>
                <c:pt idx="11">
                  <c:v>29</c:v>
                </c:pt>
                <c:pt idx="12">
                  <c:v>30</c:v>
                </c:pt>
              </c:numCache>
            </c:numRef>
          </c:xVal>
          <c:yVal>
            <c:numRef>
              <c:f>Drying!$C$11:$C$23</c:f>
              <c:numCache>
                <c:formatCode>#,##0.00</c:formatCode>
                <c:ptCount val="13"/>
                <c:pt idx="0">
                  <c:v>4.9997208280975611</c:v>
                </c:pt>
                <c:pt idx="1">
                  <c:v>6.4077730674567892</c:v>
                </c:pt>
                <c:pt idx="2">
                  <c:v>7.7120119999999979</c:v>
                </c:pt>
                <c:pt idx="3">
                  <c:v>8.9254188048607599</c:v>
                </c:pt>
                <c:pt idx="4">
                  <c:v>10.059312985435902</c:v>
                </c:pt>
                <c:pt idx="5">
                  <c:v>11.123244468363636</c:v>
                </c:pt>
                <c:pt idx="6">
                  <c:v>12.124877184000002</c:v>
                </c:pt>
                <c:pt idx="7">
                  <c:v>13.069863333333334</c:v>
                </c:pt>
                <c:pt idx="8">
                  <c:v>13.961707460324329</c:v>
                </c:pt>
                <c:pt idx="9">
                  <c:v>14.801619352109574</c:v>
                </c:pt>
                <c:pt idx="10">
                  <c:v>15.588354680888886</c:v>
                </c:pt>
                <c:pt idx="11">
                  <c:v>16.318042178929595</c:v>
                </c:pt>
                <c:pt idx="12">
                  <c:v>16.983996000000005</c:v>
                </c:pt>
              </c:numCache>
            </c:numRef>
          </c:yVal>
          <c:smooth val="1"/>
          <c:extLst>
            <c:ext xmlns:c16="http://schemas.microsoft.com/office/drawing/2014/chart" uri="{C3380CC4-5D6E-409C-BE32-E72D297353CC}">
              <c16:uniqueId val="{00000000-6AC4-4ED3-8ADC-E6DEDF320EB7}"/>
            </c:ext>
          </c:extLst>
        </c:ser>
        <c:ser>
          <c:idx val="1"/>
          <c:order val="1"/>
          <c:tx>
            <c:strRef>
              <c:f>Drying!$H$10</c:f>
              <c:strCache>
                <c:ptCount val="1"/>
                <c:pt idx="0">
                  <c:v>bu/gal LP</c:v>
                </c:pt>
              </c:strCache>
            </c:strRef>
          </c:tx>
          <c:spPr>
            <a:ln w="12700">
              <a:solidFill>
                <a:srgbClr val="FF0000"/>
              </a:solidFill>
              <a:prstDash val="solid"/>
            </a:ln>
          </c:spPr>
          <c:marker>
            <c:symbol val="square"/>
            <c:size val="5"/>
            <c:spPr>
              <a:noFill/>
              <a:ln>
                <a:solidFill>
                  <a:srgbClr val="FF0000"/>
                </a:solidFill>
                <a:prstDash val="solid"/>
              </a:ln>
            </c:spPr>
          </c:marker>
          <c:xVal>
            <c:numRef>
              <c:f>Drying!$A$11:$A$23</c:f>
              <c:numCache>
                <c:formatCode>General</c:formatCode>
                <c:ptCount val="13"/>
                <c:pt idx="0">
                  <c:v>18</c:v>
                </c:pt>
                <c:pt idx="1">
                  <c:v>19</c:v>
                </c:pt>
                <c:pt idx="2">
                  <c:v>20</c:v>
                </c:pt>
                <c:pt idx="3">
                  <c:v>21</c:v>
                </c:pt>
                <c:pt idx="4">
                  <c:v>22</c:v>
                </c:pt>
                <c:pt idx="5">
                  <c:v>23</c:v>
                </c:pt>
                <c:pt idx="6">
                  <c:v>24</c:v>
                </c:pt>
                <c:pt idx="7">
                  <c:v>25</c:v>
                </c:pt>
                <c:pt idx="8">
                  <c:v>26</c:v>
                </c:pt>
                <c:pt idx="9">
                  <c:v>27</c:v>
                </c:pt>
                <c:pt idx="10">
                  <c:v>28</c:v>
                </c:pt>
                <c:pt idx="11">
                  <c:v>29</c:v>
                </c:pt>
                <c:pt idx="12">
                  <c:v>30</c:v>
                </c:pt>
              </c:numCache>
            </c:numRef>
          </c:xVal>
          <c:yVal>
            <c:numRef>
              <c:f>Drying!$H$11:$H$23</c:f>
              <c:numCache>
                <c:formatCode>0.00</c:formatCode>
                <c:ptCount val="13"/>
                <c:pt idx="0">
                  <c:v>17.112955491268174</c:v>
                </c:pt>
                <c:pt idx="1">
                  <c:v>13.352532790921435</c:v>
                </c:pt>
                <c:pt idx="2">
                  <c:v>11.094381077207871</c:v>
                </c:pt>
                <c:pt idx="3">
                  <c:v>9.5861047947020985</c:v>
                </c:pt>
                <c:pt idx="4">
                  <c:v>8.5055510375187335</c:v>
                </c:pt>
                <c:pt idx="5">
                  <c:v>7.6920003190927728</c:v>
                </c:pt>
                <c:pt idx="6">
                  <c:v>7.0565663224123245</c:v>
                </c:pt>
                <c:pt idx="7">
                  <c:v>6.5463576640306611</c:v>
                </c:pt>
                <c:pt idx="8">
                  <c:v>6.1281902835408975</c:v>
                </c:pt>
                <c:pt idx="9">
                  <c:v>5.7804486093479843</c:v>
                </c:pt>
                <c:pt idx="10">
                  <c:v>5.4887126801711421</c:v>
                </c:pt>
                <c:pt idx="11">
                  <c:v>5.2432760659534248</c:v>
                </c:pt>
                <c:pt idx="12">
                  <c:v>5.0376837111831625</c:v>
                </c:pt>
              </c:numCache>
            </c:numRef>
          </c:yVal>
          <c:smooth val="1"/>
          <c:extLst>
            <c:ext xmlns:c16="http://schemas.microsoft.com/office/drawing/2014/chart" uri="{C3380CC4-5D6E-409C-BE32-E72D297353CC}">
              <c16:uniqueId val="{00000001-6AC4-4ED3-8ADC-E6DEDF320EB7}"/>
            </c:ext>
          </c:extLst>
        </c:ser>
        <c:dLbls>
          <c:showLegendKey val="0"/>
          <c:showVal val="0"/>
          <c:showCatName val="0"/>
          <c:showSerName val="0"/>
          <c:showPercent val="0"/>
          <c:showBubbleSize val="0"/>
        </c:dLbls>
        <c:axId val="317113960"/>
        <c:axId val="1"/>
      </c:scatterChart>
      <c:valAx>
        <c:axId val="317113960"/>
        <c:scaling>
          <c:orientation val="minMax"/>
          <c:max val="35"/>
          <c:min val="15"/>
        </c:scaling>
        <c:delete val="0"/>
        <c:axPos val="b"/>
        <c:title>
          <c:tx>
            <c:rich>
              <a:bodyPr/>
              <a:lstStyle/>
              <a:p>
                <a:pPr>
                  <a:defRPr sz="925" b="1" i="0" u="none" strike="noStrike" baseline="0">
                    <a:solidFill>
                      <a:srgbClr val="000000"/>
                    </a:solidFill>
                    <a:latin typeface="Arial"/>
                    <a:ea typeface="Arial"/>
                    <a:cs typeface="Arial"/>
                  </a:defRPr>
                </a:pPr>
                <a:r>
                  <a:rPr lang="en-US"/>
                  <a:t>Corn Moisture, %</a:t>
                </a:r>
              </a:p>
            </c:rich>
          </c:tx>
          <c:layout>
            <c:manualLayout>
              <c:xMode val="edge"/>
              <c:yMode val="edge"/>
              <c:x val="0.32885978099618457"/>
              <c:y val="0.87625418060200666"/>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
        <c:crosses val="autoZero"/>
        <c:crossBetween val="midCat"/>
        <c:majorUnit val="5"/>
        <c:minorUnit val="2.5"/>
      </c:valAx>
      <c:valAx>
        <c:axId val="1"/>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Energy</a:t>
                </a:r>
              </a:p>
            </c:rich>
          </c:tx>
          <c:layout>
            <c:manualLayout>
              <c:xMode val="edge"/>
              <c:yMode val="edge"/>
              <c:x val="3.5794174121429524E-2"/>
              <c:y val="0.4280936454849498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317113960"/>
        <c:crosses val="autoZero"/>
        <c:crossBetween val="midCat"/>
      </c:valAx>
      <c:spPr>
        <a:solidFill>
          <a:srgbClr val="C0C0C0"/>
        </a:solidFill>
        <a:ln w="12700">
          <a:solidFill>
            <a:srgbClr val="808080"/>
          </a:solidFill>
          <a:prstDash val="solid"/>
        </a:ln>
      </c:spPr>
    </c:plotArea>
    <c:legend>
      <c:legendPos val="r"/>
      <c:layout>
        <c:manualLayout>
          <c:xMode val="edge"/>
          <c:yMode val="edge"/>
          <c:x val="0.77852512292296172"/>
          <c:y val="0.43143812709030099"/>
          <c:w val="0.20357987387682397"/>
          <c:h val="0.13712374581939796"/>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CF Dryer Performance</a:t>
            </a:r>
          </a:p>
        </c:rich>
      </c:tx>
      <c:layout>
        <c:manualLayout>
          <c:xMode val="edge"/>
          <c:yMode val="edge"/>
          <c:x val="0.31991121915129739"/>
          <c:y val="3.6789262101730953E-2"/>
        </c:manualLayout>
      </c:layout>
      <c:overlay val="0"/>
      <c:spPr>
        <a:noFill/>
        <a:ln w="25400">
          <a:noFill/>
        </a:ln>
      </c:spPr>
    </c:title>
    <c:autoTitleDeleted val="0"/>
    <c:plotArea>
      <c:layout>
        <c:manualLayout>
          <c:layoutTarget val="inner"/>
          <c:xMode val="edge"/>
          <c:yMode val="edge"/>
          <c:x val="0.18120844957802359"/>
          <c:y val="0.22073578595317725"/>
          <c:w val="0.76733948401558139"/>
          <c:h val="0.55518394648829428"/>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1"/>
            <c:dispEq val="1"/>
            <c:trendlineLbl>
              <c:layout>
                <c:manualLayout>
                  <c:x val="7.4235017211273985E-2"/>
                  <c:y val="-0.19439812498354092"/>
                </c:manualLayout>
              </c:layout>
              <c:numFmt formatCode="General" sourceLinked="0"/>
              <c:spPr>
                <a:noFill/>
                <a:ln w="25400">
                  <a:noFill/>
                </a:ln>
              </c:spPr>
              <c:txPr>
                <a:bodyPr/>
                <a:lstStyle/>
                <a:p>
                  <a:pPr>
                    <a:defRPr sz="925" b="0" i="0" u="none" strike="noStrike" baseline="0">
                      <a:solidFill>
                        <a:srgbClr val="000000"/>
                      </a:solidFill>
                      <a:latin typeface="Arial"/>
                      <a:ea typeface="Arial"/>
                      <a:cs typeface="Arial"/>
                    </a:defRPr>
                  </a:pPr>
                  <a:endParaRPr lang="en-US"/>
                </a:p>
              </c:txPr>
            </c:trendlineLbl>
          </c:trendline>
          <c:trendline>
            <c:spPr>
              <a:ln w="25400">
                <a:solidFill>
                  <a:srgbClr val="000000"/>
                </a:solidFill>
                <a:prstDash val="solid"/>
              </a:ln>
            </c:spPr>
            <c:trendlineType val="poly"/>
            <c:order val="2"/>
            <c:dispRSqr val="1"/>
            <c:dispEq val="1"/>
            <c:trendlineLbl>
              <c:layout>
                <c:manualLayout>
                  <c:x val="-6.8465145038918387E-2"/>
                  <c:y val="0.14832187782547251"/>
                </c:manualLayout>
              </c:layout>
              <c:numFmt formatCode="General" sourceLinked="0"/>
              <c:spPr>
                <a:noFill/>
                <a:ln w="25400">
                  <a:noFill/>
                </a:ln>
              </c:spPr>
              <c:txPr>
                <a:bodyPr/>
                <a:lstStyle/>
                <a:p>
                  <a:pPr>
                    <a:defRPr sz="925" b="0" i="0" u="none" strike="noStrike" baseline="0">
                      <a:solidFill>
                        <a:srgbClr val="000000"/>
                      </a:solidFill>
                      <a:latin typeface="Arial"/>
                      <a:ea typeface="Arial"/>
                      <a:cs typeface="Arial"/>
                    </a:defRPr>
                  </a:pPr>
                  <a:endParaRPr lang="en-US"/>
                </a:p>
              </c:txPr>
            </c:trendlineLbl>
          </c:trendline>
          <c:xVal>
            <c:numRef>
              <c:f>Drying!$A$11:$A$23</c:f>
              <c:numCache>
                <c:formatCode>General</c:formatCode>
                <c:ptCount val="13"/>
                <c:pt idx="0">
                  <c:v>18</c:v>
                </c:pt>
                <c:pt idx="1">
                  <c:v>19</c:v>
                </c:pt>
                <c:pt idx="2">
                  <c:v>20</c:v>
                </c:pt>
                <c:pt idx="3">
                  <c:v>21</c:v>
                </c:pt>
                <c:pt idx="4">
                  <c:v>22</c:v>
                </c:pt>
                <c:pt idx="5">
                  <c:v>23</c:v>
                </c:pt>
                <c:pt idx="6">
                  <c:v>24</c:v>
                </c:pt>
                <c:pt idx="7">
                  <c:v>25</c:v>
                </c:pt>
                <c:pt idx="8">
                  <c:v>26</c:v>
                </c:pt>
                <c:pt idx="9">
                  <c:v>27</c:v>
                </c:pt>
                <c:pt idx="10">
                  <c:v>28</c:v>
                </c:pt>
                <c:pt idx="11">
                  <c:v>29</c:v>
                </c:pt>
                <c:pt idx="12">
                  <c:v>30</c:v>
                </c:pt>
              </c:numCache>
            </c:numRef>
          </c:xVal>
          <c:yVal>
            <c:numRef>
              <c:f>Drying!$G$11:$G$23</c:f>
              <c:numCache>
                <c:formatCode>0.0000</c:formatCode>
                <c:ptCount val="13"/>
                <c:pt idx="0">
                  <c:v>1.9478419931812218E-2</c:v>
                </c:pt>
                <c:pt idx="1">
                  <c:v>1.8723039584668037E-2</c:v>
                </c:pt>
                <c:pt idx="2">
                  <c:v>1.8027143525011682E-2</c:v>
                </c:pt>
                <c:pt idx="3">
                  <c:v>1.7386276306803724E-2</c:v>
                </c:pt>
                <c:pt idx="4">
                  <c:v>1.6795753999592437E-2</c:v>
                </c:pt>
                <c:pt idx="5">
                  <c:v>1.6250649351863655E-2</c:v>
                </c:pt>
                <c:pt idx="6">
                  <c:v>1.5745775783076208E-2</c:v>
                </c:pt>
                <c:pt idx="7">
                  <c:v>1.5275670095059998E-2</c:v>
                </c:pt>
                <c:pt idx="8">
                  <c:v>1.4834573781635775E-2</c:v>
                </c:pt>
                <c:pt idx="9">
                  <c:v>1.441641280203909E-2</c:v>
                </c:pt>
                <c:pt idx="10">
                  <c:v>1.4014775668796423E-2</c:v>
                </c:pt>
                <c:pt idx="11">
                  <c:v>1.3622889683872296E-2</c:v>
                </c:pt>
                <c:pt idx="12">
                  <c:v>1.3233595137914916E-2</c:v>
                </c:pt>
              </c:numCache>
            </c:numRef>
          </c:yVal>
          <c:smooth val="1"/>
          <c:extLst>
            <c:ext xmlns:c16="http://schemas.microsoft.com/office/drawing/2014/chart" uri="{C3380CC4-5D6E-409C-BE32-E72D297353CC}">
              <c16:uniqueId val="{00000000-6B62-4D61-AFA5-AEDA24CFC63D}"/>
            </c:ext>
          </c:extLst>
        </c:ser>
        <c:dLbls>
          <c:showLegendKey val="0"/>
          <c:showVal val="0"/>
          <c:showCatName val="0"/>
          <c:showSerName val="0"/>
          <c:showPercent val="0"/>
          <c:showBubbleSize val="0"/>
        </c:dLbls>
        <c:axId val="377531304"/>
        <c:axId val="1"/>
      </c:scatterChart>
      <c:valAx>
        <c:axId val="377531304"/>
        <c:scaling>
          <c:orientation val="minMax"/>
          <c:max val="35"/>
          <c:min val="15"/>
        </c:scaling>
        <c:delete val="0"/>
        <c:axPos val="b"/>
        <c:title>
          <c:tx>
            <c:rich>
              <a:bodyPr/>
              <a:lstStyle/>
              <a:p>
                <a:pPr>
                  <a:defRPr sz="925" b="1" i="0" u="none" strike="noStrike" baseline="0">
                    <a:solidFill>
                      <a:srgbClr val="000000"/>
                    </a:solidFill>
                    <a:latin typeface="Arial"/>
                    <a:ea typeface="Arial"/>
                    <a:cs typeface="Arial"/>
                  </a:defRPr>
                </a:pPr>
                <a:r>
                  <a:rPr lang="en-US"/>
                  <a:t>Corn Moisture, %</a:t>
                </a:r>
              </a:p>
            </c:rich>
          </c:tx>
          <c:layout>
            <c:manualLayout>
              <c:xMode val="edge"/>
              <c:yMode val="edge"/>
              <c:x val="0.45413964194073053"/>
              <c:y val="0.87625402837303568"/>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
        <c:crosses val="autoZero"/>
        <c:crossBetween val="midCat"/>
        <c:majorUnit val="5"/>
        <c:minorUnit val="2.5"/>
      </c:valAx>
      <c:valAx>
        <c:axId val="1"/>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Gal LP / bu-pt</a:t>
                </a:r>
              </a:p>
            </c:rich>
          </c:tx>
          <c:layout>
            <c:manualLayout>
              <c:xMode val="edge"/>
              <c:yMode val="edge"/>
              <c:x val="3.5794183445190156E-2"/>
              <c:y val="0.3678929532542609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3775313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CF Dryer Performance</a:t>
            </a:r>
          </a:p>
        </c:rich>
      </c:tx>
      <c:layout>
        <c:manualLayout>
          <c:xMode val="edge"/>
          <c:yMode val="edge"/>
          <c:x val="0.32000069991251096"/>
          <c:y val="3.678929765886288E-2"/>
        </c:manualLayout>
      </c:layout>
      <c:overlay val="0"/>
      <c:spPr>
        <a:noFill/>
        <a:ln w="25400">
          <a:noFill/>
        </a:ln>
      </c:spPr>
    </c:title>
    <c:autoTitleDeleted val="0"/>
    <c:plotArea>
      <c:layout>
        <c:manualLayout>
          <c:layoutTarget val="inner"/>
          <c:xMode val="edge"/>
          <c:yMode val="edge"/>
          <c:x val="0.16888925540202995"/>
          <c:y val="0.22073578595317725"/>
          <c:w val="0.7800016927120067"/>
          <c:h val="0.54849498327759194"/>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og"/>
            <c:dispRSqr val="1"/>
            <c:dispEq val="1"/>
            <c:trendlineLbl>
              <c:layout>
                <c:manualLayout>
                  <c:x val="-0.13794934379271917"/>
                  <c:y val="-3.6789297658862859E-2"/>
                </c:manualLayout>
              </c:layout>
              <c:numFmt formatCode="General" sourceLinked="0"/>
              <c:spPr>
                <a:noFill/>
                <a:ln w="25400">
                  <a:noFill/>
                </a:ln>
              </c:spPr>
              <c:txPr>
                <a:bodyPr/>
                <a:lstStyle/>
                <a:p>
                  <a:pPr>
                    <a:defRPr sz="950" b="0" i="0" u="none" strike="noStrike" baseline="0">
                      <a:solidFill>
                        <a:srgbClr val="000000"/>
                      </a:solidFill>
                      <a:latin typeface="Arial"/>
                      <a:ea typeface="Arial"/>
                      <a:cs typeface="Arial"/>
                    </a:defRPr>
                  </a:pPr>
                  <a:endParaRPr lang="en-US"/>
                </a:p>
              </c:txPr>
            </c:trendlineLbl>
          </c:trendline>
          <c:xVal>
            <c:numRef>
              <c:f>Drying!$A$11:$A$23</c:f>
              <c:numCache>
                <c:formatCode>General</c:formatCode>
                <c:ptCount val="13"/>
                <c:pt idx="0">
                  <c:v>18</c:v>
                </c:pt>
                <c:pt idx="1">
                  <c:v>19</c:v>
                </c:pt>
                <c:pt idx="2">
                  <c:v>20</c:v>
                </c:pt>
                <c:pt idx="3">
                  <c:v>21</c:v>
                </c:pt>
                <c:pt idx="4">
                  <c:v>22</c:v>
                </c:pt>
                <c:pt idx="5">
                  <c:v>23</c:v>
                </c:pt>
                <c:pt idx="6">
                  <c:v>24</c:v>
                </c:pt>
                <c:pt idx="7">
                  <c:v>25</c:v>
                </c:pt>
                <c:pt idx="8">
                  <c:v>26</c:v>
                </c:pt>
                <c:pt idx="9">
                  <c:v>27</c:v>
                </c:pt>
                <c:pt idx="10">
                  <c:v>28</c:v>
                </c:pt>
                <c:pt idx="11">
                  <c:v>29</c:v>
                </c:pt>
                <c:pt idx="12">
                  <c:v>30</c:v>
                </c:pt>
              </c:numCache>
            </c:numRef>
          </c:xVal>
          <c:yVal>
            <c:numRef>
              <c:f>Drying!$F$11:$F$23</c:f>
              <c:numCache>
                <c:formatCode>0.000</c:formatCode>
                <c:ptCount val="13"/>
                <c:pt idx="0">
                  <c:v>5.8435259795436657E-2</c:v>
                </c:pt>
                <c:pt idx="1">
                  <c:v>7.4892158338672146E-2</c:v>
                </c:pt>
                <c:pt idx="2">
                  <c:v>9.0135717625058412E-2</c:v>
                </c:pt>
                <c:pt idx="3">
                  <c:v>0.10431765784082234</c:v>
                </c:pt>
                <c:pt idx="4">
                  <c:v>0.11757027799714705</c:v>
                </c:pt>
                <c:pt idx="5">
                  <c:v>0.13000519481490924</c:v>
                </c:pt>
                <c:pt idx="6">
                  <c:v>0.14171198204768587</c:v>
                </c:pt>
                <c:pt idx="7">
                  <c:v>0.15275670095059998</c:v>
                </c:pt>
                <c:pt idx="8">
                  <c:v>0.16318031159799354</c:v>
                </c:pt>
                <c:pt idx="9">
                  <c:v>0.17299695362446907</c:v>
                </c:pt>
                <c:pt idx="10">
                  <c:v>0.1821920836943535</c:v>
                </c:pt>
                <c:pt idx="11">
                  <c:v>0.19072045557421216</c:v>
                </c:pt>
                <c:pt idx="12">
                  <c:v>0.19850392706872375</c:v>
                </c:pt>
              </c:numCache>
            </c:numRef>
          </c:yVal>
          <c:smooth val="1"/>
          <c:extLst>
            <c:ext xmlns:c16="http://schemas.microsoft.com/office/drawing/2014/chart" uri="{C3380CC4-5D6E-409C-BE32-E72D297353CC}">
              <c16:uniqueId val="{00000000-236F-4309-BD5E-48DEEA8BDAF5}"/>
            </c:ext>
          </c:extLst>
        </c:ser>
        <c:dLbls>
          <c:showLegendKey val="0"/>
          <c:showVal val="0"/>
          <c:showCatName val="0"/>
          <c:showSerName val="0"/>
          <c:showPercent val="0"/>
          <c:showBubbleSize val="0"/>
        </c:dLbls>
        <c:axId val="377533272"/>
        <c:axId val="1"/>
      </c:scatterChart>
      <c:valAx>
        <c:axId val="377533272"/>
        <c:scaling>
          <c:orientation val="minMax"/>
          <c:max val="35"/>
          <c:min val="15"/>
        </c:scaling>
        <c:delete val="0"/>
        <c:axPos val="b"/>
        <c:title>
          <c:tx>
            <c:rich>
              <a:bodyPr/>
              <a:lstStyle/>
              <a:p>
                <a:pPr>
                  <a:defRPr sz="950" b="1" i="0" u="none" strike="noStrike" baseline="0">
                    <a:solidFill>
                      <a:srgbClr val="000000"/>
                    </a:solidFill>
                    <a:latin typeface="Arial"/>
                    <a:ea typeface="Arial"/>
                    <a:cs typeface="Arial"/>
                  </a:defRPr>
                </a:pPr>
                <a:r>
                  <a:rPr lang="en-US"/>
                  <a:t>Corn Moisture, %</a:t>
                </a:r>
              </a:p>
            </c:rich>
          </c:tx>
          <c:layout>
            <c:manualLayout>
              <c:xMode val="edge"/>
              <c:yMode val="edge"/>
              <c:x val="0.43555648877223674"/>
              <c:y val="0.87290969899665549"/>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crossBetween val="midCat"/>
        <c:majorUnit val="5"/>
        <c:minorUnit val="2.5"/>
      </c:valAx>
      <c:valAx>
        <c:axId val="1"/>
        <c:scaling>
          <c:orientation val="minMax"/>
          <c:min val="0.02"/>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Gal LP / bu</a:t>
                </a:r>
              </a:p>
            </c:rich>
          </c:tx>
          <c:layout>
            <c:manualLayout>
              <c:xMode val="edge"/>
              <c:yMode val="edge"/>
              <c:x val="3.5555555555555556E-2"/>
              <c:y val="0.3712374581939799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775332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Drying!$E$10</c:f>
              <c:strCache>
                <c:ptCount val="1"/>
                <c:pt idx="0">
                  <c:v>H20</c:v>
                </c:pt>
              </c:strCache>
            </c:strRef>
          </c:tx>
          <c:xVal>
            <c:numRef>
              <c:f>Drying!$A$11:$A$23</c:f>
              <c:numCache>
                <c:formatCode>General</c:formatCode>
                <c:ptCount val="13"/>
                <c:pt idx="0">
                  <c:v>18</c:v>
                </c:pt>
                <c:pt idx="1">
                  <c:v>19</c:v>
                </c:pt>
                <c:pt idx="2">
                  <c:v>20</c:v>
                </c:pt>
                <c:pt idx="3">
                  <c:v>21</c:v>
                </c:pt>
                <c:pt idx="4">
                  <c:v>22</c:v>
                </c:pt>
                <c:pt idx="5">
                  <c:v>23</c:v>
                </c:pt>
                <c:pt idx="6">
                  <c:v>24</c:v>
                </c:pt>
                <c:pt idx="7">
                  <c:v>25</c:v>
                </c:pt>
                <c:pt idx="8">
                  <c:v>26</c:v>
                </c:pt>
                <c:pt idx="9">
                  <c:v>27</c:v>
                </c:pt>
                <c:pt idx="10">
                  <c:v>28</c:v>
                </c:pt>
                <c:pt idx="11">
                  <c:v>29</c:v>
                </c:pt>
                <c:pt idx="12">
                  <c:v>30</c:v>
                </c:pt>
              </c:numCache>
            </c:numRef>
          </c:xVal>
          <c:yVal>
            <c:numRef>
              <c:f>Drying!$E$11:$E$23</c:f>
              <c:numCache>
                <c:formatCode>0</c:formatCode>
                <c:ptCount val="13"/>
                <c:pt idx="0">
                  <c:v>2440.3399280000003</c:v>
                </c:pt>
                <c:pt idx="1">
                  <c:v>2317.0965110000006</c:v>
                </c:pt>
                <c:pt idx="2">
                  <c:v>2203.4319999999998</c:v>
                </c:pt>
                <c:pt idx="3">
                  <c:v>2098.5359690000005</c:v>
                </c:pt>
                <c:pt idx="4">
                  <c:v>2001.5979920000009</c:v>
                </c:pt>
                <c:pt idx="5">
                  <c:v>1911.8076430000001</c:v>
                </c:pt>
                <c:pt idx="6">
                  <c:v>1828.3544960000008</c:v>
                </c:pt>
                <c:pt idx="7">
                  <c:v>1750.4281250000004</c:v>
                </c:pt>
                <c:pt idx="8">
                  <c:v>1677.2181040000005</c:v>
                </c:pt>
                <c:pt idx="9">
                  <c:v>1607.9140069999985</c:v>
                </c:pt>
                <c:pt idx="10">
                  <c:v>1541.7054079999998</c:v>
                </c:pt>
                <c:pt idx="11">
                  <c:v>1477.7818810000017</c:v>
                </c:pt>
                <c:pt idx="12">
                  <c:v>1415.3330000000005</c:v>
                </c:pt>
              </c:numCache>
            </c:numRef>
          </c:yVal>
          <c:smooth val="1"/>
          <c:extLst>
            <c:ext xmlns:c16="http://schemas.microsoft.com/office/drawing/2014/chart" uri="{C3380CC4-5D6E-409C-BE32-E72D297353CC}">
              <c16:uniqueId val="{00000000-FEFA-4238-9290-D94FFE489D4E}"/>
            </c:ext>
          </c:extLst>
        </c:ser>
        <c:dLbls>
          <c:showLegendKey val="0"/>
          <c:showVal val="0"/>
          <c:showCatName val="0"/>
          <c:showSerName val="0"/>
          <c:showPercent val="0"/>
          <c:showBubbleSize val="0"/>
        </c:dLbls>
        <c:axId val="377536552"/>
        <c:axId val="1"/>
      </c:scatterChart>
      <c:valAx>
        <c:axId val="377536552"/>
        <c:scaling>
          <c:orientation val="minMax"/>
          <c:min val="17"/>
        </c:scaling>
        <c:delete val="0"/>
        <c:axPos val="b"/>
        <c:majorGridlines/>
        <c:minorGridlines/>
        <c:title>
          <c:tx>
            <c:rich>
              <a:bodyPr/>
              <a:lstStyle/>
              <a:p>
                <a:pPr>
                  <a:defRPr/>
                </a:pPr>
                <a:r>
                  <a:rPr lang="en-US"/>
                  <a:t>Harvest moisture, %wb</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inorUnit val="0.5"/>
      </c:valAx>
      <c:valAx>
        <c:axId val="1"/>
        <c:scaling>
          <c:orientation val="minMax"/>
          <c:min val="1000"/>
        </c:scaling>
        <c:delete val="0"/>
        <c:axPos val="l"/>
        <c:majorGridlines/>
        <c:minorGridlines/>
        <c:title>
          <c:tx>
            <c:rich>
              <a:bodyPr/>
              <a:lstStyle/>
              <a:p>
                <a:pPr>
                  <a:defRPr/>
                </a:pPr>
                <a:r>
                  <a:rPr lang="en-US"/>
                  <a:t>Drying efficiency, Btu/lb H20</a:t>
                </a:r>
              </a:p>
            </c:rich>
          </c:tx>
          <c:overlay val="0"/>
        </c:title>
        <c:numFmt formatCode="0" sourceLinked="1"/>
        <c:majorTickMark val="out"/>
        <c:minorTickMark val="none"/>
        <c:tickLblPos val="nextTo"/>
        <c:crossAx val="37753655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Impact</a:t>
            </a:r>
            <a:r>
              <a:rPr lang="en-US" baseline="0"/>
              <a:t> of Fuel Prices on </a:t>
            </a:r>
            <a:r>
              <a:rPr lang="en-US"/>
              <a:t>Operating</a:t>
            </a:r>
            <a:r>
              <a:rPr lang="en-US" baseline="0"/>
              <a:t> Costs for Hauling Grain</a:t>
            </a:r>
            <a:endParaRPr lang="en-US"/>
          </a:p>
        </c:rich>
      </c:tx>
      <c:overlay val="0"/>
      <c:spPr>
        <a:noFill/>
        <a:ln w="25400">
          <a:noFill/>
        </a:ln>
      </c:spPr>
    </c:title>
    <c:autoTitleDeleted val="0"/>
    <c:plotArea>
      <c:layout/>
      <c:scatterChart>
        <c:scatterStyle val="smoothMarker"/>
        <c:varyColors val="0"/>
        <c:ser>
          <c:idx val="1"/>
          <c:order val="0"/>
          <c:tx>
            <c:strRef>
              <c:f>[1]Sheet1!$E$67</c:f>
              <c:strCache>
                <c:ptCount val="1"/>
                <c:pt idx="0">
                  <c:v>Op-Labor</c:v>
                </c:pt>
              </c:strCache>
            </c:strRef>
          </c:tx>
          <c:marker>
            <c:spPr>
              <a:noFill/>
            </c:spPr>
          </c:marker>
          <c:xVal>
            <c:numRef>
              <c:f>[1]Sheet1!$C$68:$C$73</c:f>
              <c:numCache>
                <c:formatCode>General</c:formatCode>
                <c:ptCount val="6"/>
                <c:pt idx="0">
                  <c:v>2.5</c:v>
                </c:pt>
                <c:pt idx="1">
                  <c:v>3</c:v>
                </c:pt>
                <c:pt idx="2">
                  <c:v>3.5</c:v>
                </c:pt>
                <c:pt idx="3">
                  <c:v>4</c:v>
                </c:pt>
                <c:pt idx="4">
                  <c:v>4.5</c:v>
                </c:pt>
                <c:pt idx="5">
                  <c:v>5</c:v>
                </c:pt>
              </c:numCache>
            </c:numRef>
          </c:xVal>
          <c:yVal>
            <c:numRef>
              <c:f>[1]Sheet1!$E$68:$E$73</c:f>
              <c:numCache>
                <c:formatCode>General</c:formatCode>
                <c:ptCount val="6"/>
                <c:pt idx="0">
                  <c:v>0.99899999999999989</c:v>
                </c:pt>
                <c:pt idx="1">
                  <c:v>1.091</c:v>
                </c:pt>
                <c:pt idx="2">
                  <c:v>1.1819999999999999</c:v>
                </c:pt>
                <c:pt idx="3">
                  <c:v>1.274</c:v>
                </c:pt>
                <c:pt idx="4">
                  <c:v>1.3659999999999999</c:v>
                </c:pt>
                <c:pt idx="5">
                  <c:v>1.4570000000000001</c:v>
                </c:pt>
              </c:numCache>
            </c:numRef>
          </c:yVal>
          <c:smooth val="1"/>
          <c:extLst>
            <c:ext xmlns:c16="http://schemas.microsoft.com/office/drawing/2014/chart" uri="{C3380CC4-5D6E-409C-BE32-E72D297353CC}">
              <c16:uniqueId val="{00000000-F2F2-4B8C-894D-97DA133F9C85}"/>
            </c:ext>
          </c:extLst>
        </c:ser>
        <c:ser>
          <c:idx val="0"/>
          <c:order val="1"/>
          <c:tx>
            <c:strRef>
              <c:f>[1]Sheet1!$D$67</c:f>
              <c:strCache>
                <c:ptCount val="1"/>
                <c:pt idx="0">
                  <c:v>Fuel/lube</c:v>
                </c:pt>
              </c:strCache>
            </c:strRef>
          </c:tx>
          <c:marker>
            <c:symbol val="diamond"/>
            <c:size val="7"/>
          </c:marker>
          <c:xVal>
            <c:numRef>
              <c:f>[1]Sheet1!$C$68:$C$73</c:f>
              <c:numCache>
                <c:formatCode>General</c:formatCode>
                <c:ptCount val="6"/>
                <c:pt idx="0">
                  <c:v>2.5</c:v>
                </c:pt>
                <c:pt idx="1">
                  <c:v>3</c:v>
                </c:pt>
                <c:pt idx="2">
                  <c:v>3.5</c:v>
                </c:pt>
                <c:pt idx="3">
                  <c:v>4</c:v>
                </c:pt>
                <c:pt idx="4">
                  <c:v>4.5</c:v>
                </c:pt>
                <c:pt idx="5">
                  <c:v>5</c:v>
                </c:pt>
              </c:numCache>
            </c:numRef>
          </c:xVal>
          <c:yVal>
            <c:numRef>
              <c:f>[1]Sheet1!$D$68:$D$73</c:f>
              <c:numCache>
                <c:formatCode>General</c:formatCode>
                <c:ptCount val="6"/>
                <c:pt idx="0">
                  <c:v>0.45800000000000002</c:v>
                </c:pt>
                <c:pt idx="1">
                  <c:v>0.55000000000000004</c:v>
                </c:pt>
                <c:pt idx="2">
                  <c:v>0.64200000000000002</c:v>
                </c:pt>
                <c:pt idx="3">
                  <c:v>0.73299999999999998</c:v>
                </c:pt>
                <c:pt idx="4">
                  <c:v>0.82499999999999996</c:v>
                </c:pt>
                <c:pt idx="5">
                  <c:v>0.91700000000000004</c:v>
                </c:pt>
              </c:numCache>
            </c:numRef>
          </c:yVal>
          <c:smooth val="1"/>
          <c:extLst>
            <c:ext xmlns:c16="http://schemas.microsoft.com/office/drawing/2014/chart" uri="{C3380CC4-5D6E-409C-BE32-E72D297353CC}">
              <c16:uniqueId val="{00000001-F2F2-4B8C-894D-97DA133F9C85}"/>
            </c:ext>
          </c:extLst>
        </c:ser>
        <c:dLbls>
          <c:showLegendKey val="0"/>
          <c:showVal val="0"/>
          <c:showCatName val="0"/>
          <c:showSerName val="0"/>
          <c:showPercent val="0"/>
          <c:showBubbleSize val="0"/>
        </c:dLbls>
        <c:axId val="376807312"/>
        <c:axId val="1"/>
      </c:scatterChart>
      <c:valAx>
        <c:axId val="376807312"/>
        <c:scaling>
          <c:orientation val="minMax"/>
          <c:max val="5.5"/>
          <c:min val="2"/>
        </c:scaling>
        <c:delete val="0"/>
        <c:axPos val="b"/>
        <c:majorGridlines>
          <c:spPr>
            <a:ln>
              <a:solidFill>
                <a:sysClr val="windowText" lastClr="000000"/>
              </a:solidFill>
            </a:ln>
          </c:spPr>
        </c:majorGridlines>
        <c:minorGridlines>
          <c:spPr>
            <a:ln>
              <a:solidFill>
                <a:sysClr val="windowText" lastClr="000000"/>
              </a:solidFill>
            </a:ln>
          </c:spPr>
        </c:minorGridlines>
        <c:title>
          <c:tx>
            <c:rich>
              <a:bodyPr/>
              <a:lstStyle/>
              <a:p>
                <a:pPr>
                  <a:defRPr sz="1200"/>
                </a:pPr>
                <a:r>
                  <a:rPr lang="en-US" sz="1200"/>
                  <a:t>Diesel</a:t>
                </a:r>
                <a:r>
                  <a:rPr lang="en-US" sz="1200" baseline="0"/>
                  <a:t> Price, $/gal</a:t>
                </a:r>
                <a:endParaRPr lang="en-US" sz="1200"/>
              </a:p>
            </c:rich>
          </c:tx>
          <c:overlay val="0"/>
          <c:spPr>
            <a:noFill/>
            <a:ln w="25400">
              <a:noFill/>
            </a:ln>
          </c:spPr>
        </c:title>
        <c:numFmt formatCode="General" sourceLinked="1"/>
        <c:majorTickMark val="out"/>
        <c:minorTickMark val="out"/>
        <c:tickLblPos val="nextTo"/>
        <c:spPr>
          <a:ln>
            <a:solidFill>
              <a:sysClr val="windowText" lastClr="000000"/>
            </a:solidFill>
          </a:ln>
        </c:spPr>
        <c:txPr>
          <a:bodyPr rot="0" vert="horz"/>
          <a:lstStyle/>
          <a:p>
            <a:pPr>
              <a:defRPr sz="1200" b="0" i="0" u="none" strike="noStrike" baseline="0">
                <a:solidFill>
                  <a:srgbClr val="000000"/>
                </a:solidFill>
                <a:latin typeface="Calibri"/>
                <a:ea typeface="Calibri"/>
                <a:cs typeface="Calibri"/>
              </a:defRPr>
            </a:pPr>
            <a:endParaRPr lang="en-US"/>
          </a:p>
        </c:txPr>
        <c:crossAx val="1"/>
        <c:crossesAt val="0"/>
        <c:crossBetween val="midCat"/>
        <c:minorUnit val="0.5"/>
      </c:valAx>
      <c:valAx>
        <c:axId val="1"/>
        <c:scaling>
          <c:orientation val="minMax"/>
          <c:min val="0.2"/>
        </c:scaling>
        <c:delete val="0"/>
        <c:axPos val="l"/>
        <c:majorGridlines>
          <c:spPr>
            <a:ln>
              <a:solidFill>
                <a:schemeClr val="tx1"/>
              </a:solidFill>
            </a:ln>
          </c:spPr>
        </c:majorGridlines>
        <c:title>
          <c:tx>
            <c:rich>
              <a:bodyPr/>
              <a:lstStyle/>
              <a:p>
                <a:pPr>
                  <a:defRPr sz="1200"/>
                </a:pPr>
                <a:r>
                  <a:rPr lang="en-US" sz="1200"/>
                  <a:t>$/mile</a:t>
                </a:r>
              </a:p>
            </c:rich>
          </c:tx>
          <c:overlay val="0"/>
          <c:spPr>
            <a:noFill/>
            <a:ln w="25400">
              <a:noFill/>
            </a:ln>
          </c:spPr>
        </c:title>
        <c:numFmt formatCode="#,##0.0" sourceLinked="0"/>
        <c:majorTickMark val="out"/>
        <c:minorTickMark val="out"/>
        <c:tickLblPos val="nextTo"/>
        <c:spPr>
          <a:ln>
            <a:solidFill>
              <a:sysClr val="windowText" lastClr="000000"/>
            </a:solidFill>
          </a:ln>
        </c:spPr>
        <c:txPr>
          <a:bodyPr/>
          <a:lstStyle/>
          <a:p>
            <a:pPr>
              <a:defRPr sz="1200"/>
            </a:pPr>
            <a:endParaRPr lang="en-US"/>
          </a:p>
        </c:txPr>
        <c:crossAx val="376807312"/>
        <c:crosses val="autoZero"/>
        <c:crossBetween val="midCat"/>
        <c:majorUnit val="0.2"/>
        <c:minorUnit val="0.1"/>
      </c:valAx>
    </c:plotArea>
    <c:legend>
      <c:legendPos val="r"/>
      <c:layout>
        <c:manualLayout>
          <c:xMode val="edge"/>
          <c:yMode val="edge"/>
          <c:x val="0.78958486439195097"/>
          <c:y val="0.52232189726284217"/>
          <c:w val="0.19791710411198593"/>
          <c:h val="0.12723237720284963"/>
        </c:manualLayout>
      </c:layout>
      <c:overlay val="0"/>
      <c:txPr>
        <a:bodyPr/>
        <a:lstStyle/>
        <a:p>
          <a:pPr>
            <a:defRPr sz="1100"/>
          </a:pPr>
          <a:endParaRPr lang="en-US"/>
        </a:p>
      </c:txPr>
    </c:legend>
    <c:plotVisOnly val="1"/>
    <c:dispBlanksAs val="gap"/>
    <c:showDLblsOverMax val="0"/>
  </c:chart>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poly"/>
            <c:order val="3"/>
            <c:dispRSqr val="1"/>
            <c:dispEq val="1"/>
            <c:trendlineLbl>
              <c:layout>
                <c:manualLayout>
                  <c:x val="0.15707217847769028"/>
                  <c:y val="-0.20792468649752113"/>
                </c:manualLayout>
              </c:layout>
              <c:numFmt formatCode="General" sourceLinked="0"/>
            </c:trendlineLbl>
          </c:trendline>
          <c:xVal>
            <c:numRef>
              <c:f>'[2]Drying Eff'!$E$35:$Q$35</c:f>
              <c:numCache>
                <c:formatCode>General</c:formatCode>
                <c:ptCount val="13"/>
                <c:pt idx="0">
                  <c:v>0.18</c:v>
                </c:pt>
                <c:pt idx="1">
                  <c:v>0.19</c:v>
                </c:pt>
                <c:pt idx="2">
                  <c:v>0.2</c:v>
                </c:pt>
                <c:pt idx="3">
                  <c:v>0.21</c:v>
                </c:pt>
                <c:pt idx="4">
                  <c:v>0.22</c:v>
                </c:pt>
                <c:pt idx="5">
                  <c:v>0.23</c:v>
                </c:pt>
                <c:pt idx="6">
                  <c:v>0.24</c:v>
                </c:pt>
                <c:pt idx="7">
                  <c:v>0.25</c:v>
                </c:pt>
                <c:pt idx="8">
                  <c:v>0.26</c:v>
                </c:pt>
                <c:pt idx="9">
                  <c:v>0.27</c:v>
                </c:pt>
                <c:pt idx="10">
                  <c:v>0.28000000000000003</c:v>
                </c:pt>
                <c:pt idx="11">
                  <c:v>0.28999999999999998</c:v>
                </c:pt>
                <c:pt idx="12">
                  <c:v>0.3</c:v>
                </c:pt>
              </c:numCache>
            </c:numRef>
          </c:xVal>
          <c:yVal>
            <c:numRef>
              <c:f>'[2]Drying Eff'!$E$43:$Q$43</c:f>
              <c:numCache>
                <c:formatCode>General</c:formatCode>
                <c:ptCount val="13"/>
                <c:pt idx="0">
                  <c:v>2944.6785714285738</c:v>
                </c:pt>
                <c:pt idx="1">
                  <c:v>2803.1785714285725</c:v>
                </c:pt>
                <c:pt idx="2">
                  <c:v>2705.7142857142862</c:v>
                </c:pt>
                <c:pt idx="3">
                  <c:v>2593.3630952380959</c:v>
                </c:pt>
                <c:pt idx="4">
                  <c:v>2504.954081632653</c:v>
                </c:pt>
                <c:pt idx="5">
                  <c:v>2409.3437500000005</c:v>
                </c:pt>
                <c:pt idx="6">
                  <c:v>2329.3095238095243</c:v>
                </c:pt>
                <c:pt idx="7">
                  <c:v>2245.0446428571431</c:v>
                </c:pt>
                <c:pt idx="8">
                  <c:v>2176.5129870129867</c:v>
                </c:pt>
                <c:pt idx="9">
                  <c:v>2104.2901785714284</c:v>
                </c:pt>
                <c:pt idx="10">
                  <c:v>2039.736263736263</c:v>
                </c:pt>
                <c:pt idx="11">
                  <c:v>1974.325255102041</c:v>
                </c:pt>
                <c:pt idx="12">
                  <c:v>1914.8333333333333</c:v>
                </c:pt>
              </c:numCache>
            </c:numRef>
          </c:yVal>
          <c:smooth val="1"/>
          <c:extLst>
            <c:ext xmlns:c16="http://schemas.microsoft.com/office/drawing/2014/chart" uri="{C3380CC4-5D6E-409C-BE32-E72D297353CC}">
              <c16:uniqueId val="{00000000-8A3B-482F-8836-BC3DCEEB95F7}"/>
            </c:ext>
          </c:extLst>
        </c:ser>
        <c:ser>
          <c:idx val="2"/>
          <c:order val="1"/>
          <c:tx>
            <c:strRef>
              <c:f>'[2]Drying Eff'!$A$51</c:f>
              <c:strCache>
                <c:ptCount val="1"/>
                <c:pt idx="0">
                  <c:v>AEN-34</c:v>
                </c:pt>
              </c:strCache>
            </c:strRef>
          </c:tx>
          <c:trendline>
            <c:trendlineType val="poly"/>
            <c:order val="3"/>
            <c:dispRSqr val="1"/>
            <c:dispEq val="1"/>
            <c:trendlineLbl>
              <c:layout>
                <c:manualLayout>
                  <c:x val="-7.4833770778652666E-3"/>
                  <c:y val="8.2229148439778355E-2"/>
                </c:manualLayout>
              </c:layout>
              <c:numFmt formatCode="General" sourceLinked="0"/>
            </c:trendlineLbl>
          </c:trendline>
          <c:xVal>
            <c:numRef>
              <c:f>'[2]Drying Eff'!$E$35:$Q$35</c:f>
              <c:numCache>
                <c:formatCode>General</c:formatCode>
                <c:ptCount val="13"/>
                <c:pt idx="0">
                  <c:v>0.18</c:v>
                </c:pt>
                <c:pt idx="1">
                  <c:v>0.19</c:v>
                </c:pt>
                <c:pt idx="2">
                  <c:v>0.2</c:v>
                </c:pt>
                <c:pt idx="3">
                  <c:v>0.21</c:v>
                </c:pt>
                <c:pt idx="4">
                  <c:v>0.22</c:v>
                </c:pt>
                <c:pt idx="5">
                  <c:v>0.23</c:v>
                </c:pt>
                <c:pt idx="6">
                  <c:v>0.24</c:v>
                </c:pt>
                <c:pt idx="7">
                  <c:v>0.25</c:v>
                </c:pt>
                <c:pt idx="8">
                  <c:v>0.26</c:v>
                </c:pt>
                <c:pt idx="9">
                  <c:v>0.27</c:v>
                </c:pt>
                <c:pt idx="10">
                  <c:v>0.28000000000000003</c:v>
                </c:pt>
                <c:pt idx="11">
                  <c:v>0.28999999999999998</c:v>
                </c:pt>
                <c:pt idx="12">
                  <c:v>0.3</c:v>
                </c:pt>
              </c:numCache>
            </c:numRef>
          </c:xVal>
          <c:yVal>
            <c:numRef>
              <c:f>'[2]Drying Eff'!$E$51:$Q$51</c:f>
              <c:numCache>
                <c:formatCode>General</c:formatCode>
                <c:ptCount val="13"/>
                <c:pt idx="0">
                  <c:v>2410</c:v>
                </c:pt>
                <c:pt idx="1">
                  <c:v>2250</c:v>
                </c:pt>
                <c:pt idx="2">
                  <c:v>2110</c:v>
                </c:pt>
                <c:pt idx="3">
                  <c:v>2000</c:v>
                </c:pt>
                <c:pt idx="4">
                  <c:v>1900</c:v>
                </c:pt>
                <c:pt idx="5">
                  <c:v>1800</c:v>
                </c:pt>
                <c:pt idx="6">
                  <c:v>1710</c:v>
                </c:pt>
                <c:pt idx="7">
                  <c:v>1650</c:v>
                </c:pt>
                <c:pt idx="8">
                  <c:v>1600</c:v>
                </c:pt>
                <c:pt idx="9">
                  <c:v>1550</c:v>
                </c:pt>
                <c:pt idx="10">
                  <c:v>1510</c:v>
                </c:pt>
                <c:pt idx="11">
                  <c:v>1480</c:v>
                </c:pt>
                <c:pt idx="12">
                  <c:v>1450</c:v>
                </c:pt>
              </c:numCache>
            </c:numRef>
          </c:yVal>
          <c:smooth val="1"/>
          <c:extLst>
            <c:ext xmlns:c16="http://schemas.microsoft.com/office/drawing/2014/chart" uri="{C3380CC4-5D6E-409C-BE32-E72D297353CC}">
              <c16:uniqueId val="{00000001-8A3B-482F-8836-BC3DCEEB95F7}"/>
            </c:ext>
          </c:extLst>
        </c:ser>
        <c:ser>
          <c:idx val="3"/>
          <c:order val="2"/>
          <c:tx>
            <c:strRef>
              <c:f>'[2]Drying Eff'!$A$54</c:f>
              <c:strCache>
                <c:ptCount val="1"/>
                <c:pt idx="0">
                  <c:v>DE3^</c:v>
                </c:pt>
              </c:strCache>
            </c:strRef>
          </c:tx>
          <c:spPr>
            <a:ln>
              <a:prstDash val="sysDash"/>
            </a:ln>
          </c:spPr>
          <c:marker>
            <c:symbol val="none"/>
          </c:marker>
          <c:xVal>
            <c:numRef>
              <c:f>'[2]Drying Eff'!$D$35:$S$35</c:f>
              <c:numCache>
                <c:formatCode>General</c:formatCode>
                <c:ptCount val="16"/>
                <c:pt idx="0">
                  <c:v>0.16999999999999998</c:v>
                </c:pt>
                <c:pt idx="1">
                  <c:v>0.18</c:v>
                </c:pt>
                <c:pt idx="2">
                  <c:v>0.19</c:v>
                </c:pt>
                <c:pt idx="3">
                  <c:v>0.2</c:v>
                </c:pt>
                <c:pt idx="4">
                  <c:v>0.21</c:v>
                </c:pt>
                <c:pt idx="5">
                  <c:v>0.22</c:v>
                </c:pt>
                <c:pt idx="6">
                  <c:v>0.23</c:v>
                </c:pt>
                <c:pt idx="7">
                  <c:v>0.24</c:v>
                </c:pt>
                <c:pt idx="8">
                  <c:v>0.25</c:v>
                </c:pt>
                <c:pt idx="9">
                  <c:v>0.26</c:v>
                </c:pt>
                <c:pt idx="10">
                  <c:v>0.27</c:v>
                </c:pt>
                <c:pt idx="11">
                  <c:v>0.28000000000000003</c:v>
                </c:pt>
                <c:pt idx="12">
                  <c:v>0.28999999999999998</c:v>
                </c:pt>
                <c:pt idx="13">
                  <c:v>0.3</c:v>
                </c:pt>
                <c:pt idx="14">
                  <c:v>0.31</c:v>
                </c:pt>
                <c:pt idx="15">
                  <c:v>0.32</c:v>
                </c:pt>
              </c:numCache>
            </c:numRef>
          </c:xVal>
          <c:yVal>
            <c:numRef>
              <c:f>'[2]Drying Eff'!$D$54:$S$54</c:f>
              <c:numCache>
                <c:formatCode>General</c:formatCode>
                <c:ptCount val="16"/>
                <c:pt idx="0">
                  <c:v>2580.212496000001</c:v>
                </c:pt>
                <c:pt idx="1">
                  <c:v>2407.4169440000014</c:v>
                </c:pt>
                <c:pt idx="2">
                  <c:v>2253.1827280000007</c:v>
                </c:pt>
                <c:pt idx="3">
                  <c:v>2116.3560000000016</c:v>
                </c:pt>
                <c:pt idx="4">
                  <c:v>1995.7829120000006</c:v>
                </c:pt>
                <c:pt idx="5">
                  <c:v>1890.3096160000023</c:v>
                </c:pt>
                <c:pt idx="6">
                  <c:v>1798.7822640000004</c:v>
                </c:pt>
                <c:pt idx="7">
                  <c:v>1720.0470080000023</c:v>
                </c:pt>
                <c:pt idx="8">
                  <c:v>1652.9500000000007</c:v>
                </c:pt>
                <c:pt idx="9">
                  <c:v>1596.3373920000004</c:v>
                </c:pt>
                <c:pt idx="10">
                  <c:v>1549.0553360000022</c:v>
                </c:pt>
                <c:pt idx="11">
                  <c:v>1509.9499840000008</c:v>
                </c:pt>
                <c:pt idx="12">
                  <c:v>1477.8674879999999</c:v>
                </c:pt>
                <c:pt idx="13">
                  <c:v>1451.6539999999986</c:v>
                </c:pt>
                <c:pt idx="14">
                  <c:v>1430.1556720000017</c:v>
                </c:pt>
                <c:pt idx="15">
                  <c:v>1412.218656</c:v>
                </c:pt>
              </c:numCache>
            </c:numRef>
          </c:yVal>
          <c:smooth val="1"/>
          <c:extLst>
            <c:ext xmlns:c16="http://schemas.microsoft.com/office/drawing/2014/chart" uri="{C3380CC4-5D6E-409C-BE32-E72D297353CC}">
              <c16:uniqueId val="{00000002-8A3B-482F-8836-BC3DCEEB95F7}"/>
            </c:ext>
          </c:extLst>
        </c:ser>
        <c:ser>
          <c:idx val="1"/>
          <c:order val="3"/>
          <c:tx>
            <c:strRef>
              <c:f>'[2]Drying Eff'!$A$49</c:f>
              <c:strCache>
                <c:ptCount val="1"/>
                <c:pt idx="0">
                  <c:v>DE^215.0</c:v>
                </c:pt>
              </c:strCache>
            </c:strRef>
          </c:tx>
          <c:spPr>
            <a:ln>
              <a:solidFill>
                <a:schemeClr val="accent4">
                  <a:shade val="95000"/>
                  <a:satMod val="105000"/>
                </a:schemeClr>
              </a:solidFill>
              <a:prstDash val="sysDash"/>
            </a:ln>
          </c:spPr>
          <c:marker>
            <c:symbol val="none"/>
          </c:marker>
          <c:xVal>
            <c:numRef>
              <c:f>'[2]Drying Eff'!$D$35:$S$35</c:f>
              <c:numCache>
                <c:formatCode>General</c:formatCode>
                <c:ptCount val="16"/>
                <c:pt idx="0">
                  <c:v>0.16999999999999998</c:v>
                </c:pt>
                <c:pt idx="1">
                  <c:v>0.18</c:v>
                </c:pt>
                <c:pt idx="2">
                  <c:v>0.19</c:v>
                </c:pt>
                <c:pt idx="3">
                  <c:v>0.2</c:v>
                </c:pt>
                <c:pt idx="4">
                  <c:v>0.21</c:v>
                </c:pt>
                <c:pt idx="5">
                  <c:v>0.22</c:v>
                </c:pt>
                <c:pt idx="6">
                  <c:v>0.23</c:v>
                </c:pt>
                <c:pt idx="7">
                  <c:v>0.24</c:v>
                </c:pt>
                <c:pt idx="8">
                  <c:v>0.25</c:v>
                </c:pt>
                <c:pt idx="9">
                  <c:v>0.26</c:v>
                </c:pt>
                <c:pt idx="10">
                  <c:v>0.27</c:v>
                </c:pt>
                <c:pt idx="11">
                  <c:v>0.28000000000000003</c:v>
                </c:pt>
                <c:pt idx="12">
                  <c:v>0.28999999999999998</c:v>
                </c:pt>
                <c:pt idx="13">
                  <c:v>0.3</c:v>
                </c:pt>
                <c:pt idx="14">
                  <c:v>0.31</c:v>
                </c:pt>
                <c:pt idx="15">
                  <c:v>0.32</c:v>
                </c:pt>
              </c:numCache>
            </c:numRef>
          </c:xVal>
          <c:yVal>
            <c:numRef>
              <c:f>'[2]Drying Eff'!$D$49:$S$49</c:f>
              <c:numCache>
                <c:formatCode>General</c:formatCode>
                <c:ptCount val="16"/>
                <c:pt idx="0">
                  <c:v>3071.9726770000007</c:v>
                </c:pt>
                <c:pt idx="1">
                  <c:v>2938.3399280000003</c:v>
                </c:pt>
                <c:pt idx="2">
                  <c:v>2815.0965110000006</c:v>
                </c:pt>
                <c:pt idx="3">
                  <c:v>2701.4319999999998</c:v>
                </c:pt>
                <c:pt idx="4">
                  <c:v>2596.5359690000005</c:v>
                </c:pt>
                <c:pt idx="5">
                  <c:v>2499.5979920000009</c:v>
                </c:pt>
                <c:pt idx="6">
                  <c:v>2409.807643000001</c:v>
                </c:pt>
                <c:pt idx="7">
                  <c:v>2326.3544959999999</c:v>
                </c:pt>
                <c:pt idx="8">
                  <c:v>2248.4281250000004</c:v>
                </c:pt>
                <c:pt idx="9">
                  <c:v>2175.2181040000005</c:v>
                </c:pt>
                <c:pt idx="10">
                  <c:v>2105.9140070000003</c:v>
                </c:pt>
                <c:pt idx="11">
                  <c:v>2039.7054079999998</c:v>
                </c:pt>
                <c:pt idx="12">
                  <c:v>1975.781880999999</c:v>
                </c:pt>
                <c:pt idx="13">
                  <c:v>1913.3330000000005</c:v>
                </c:pt>
                <c:pt idx="14">
                  <c:v>1851.5483389999999</c:v>
                </c:pt>
                <c:pt idx="15">
                  <c:v>1789.6174720000008</c:v>
                </c:pt>
              </c:numCache>
            </c:numRef>
          </c:yVal>
          <c:smooth val="1"/>
          <c:extLst>
            <c:ext xmlns:c16="http://schemas.microsoft.com/office/drawing/2014/chart" uri="{C3380CC4-5D6E-409C-BE32-E72D297353CC}">
              <c16:uniqueId val="{00000003-8A3B-482F-8836-BC3DCEEB95F7}"/>
            </c:ext>
          </c:extLst>
        </c:ser>
        <c:dLbls>
          <c:showLegendKey val="0"/>
          <c:showVal val="0"/>
          <c:showCatName val="0"/>
          <c:showSerName val="0"/>
          <c:showPercent val="0"/>
          <c:showBubbleSize val="0"/>
        </c:dLbls>
        <c:axId val="317113632"/>
        <c:axId val="1"/>
      </c:scatterChart>
      <c:valAx>
        <c:axId val="317113632"/>
        <c:scaling>
          <c:orientation val="minMax"/>
          <c:min val="0.15000000000000002"/>
        </c:scaling>
        <c:delete val="0"/>
        <c:axPos val="b"/>
        <c:majorGridlines/>
        <c:minorGridlines/>
        <c:title>
          <c:tx>
            <c:rich>
              <a:bodyPr/>
              <a:lstStyle/>
              <a:p>
                <a:pPr>
                  <a:defRPr/>
                </a:pPr>
                <a:r>
                  <a:rPr lang="en-US"/>
                  <a:t>Corn Moisture, %wb</a:t>
                </a:r>
              </a:p>
            </c:rich>
          </c:tx>
          <c:overlay val="0"/>
        </c:title>
        <c:numFmt formatCode="0%" sourceLinked="0"/>
        <c:majorTickMark val="out"/>
        <c:minorTickMark val="out"/>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crossBetween val="midCat"/>
        <c:minorUnit val="1.0000000000000002E-2"/>
      </c:valAx>
      <c:valAx>
        <c:axId val="1"/>
        <c:scaling>
          <c:orientation val="minMax"/>
          <c:min val="1000"/>
        </c:scaling>
        <c:delete val="0"/>
        <c:axPos val="l"/>
        <c:majorGridlines/>
        <c:minorGridlines/>
        <c:title>
          <c:tx>
            <c:rich>
              <a:bodyPr/>
              <a:lstStyle/>
              <a:p>
                <a:pPr>
                  <a:defRPr/>
                </a:pPr>
                <a:r>
                  <a:rPr lang="en-US"/>
                  <a:t>Drying Efficiency, Btu/lb H2O</a:t>
                </a:r>
              </a:p>
            </c:rich>
          </c:tx>
          <c:overlay val="0"/>
        </c:title>
        <c:numFmt formatCode="General" sourceLinked="1"/>
        <c:majorTickMark val="out"/>
        <c:minorTickMark val="none"/>
        <c:tickLblPos val="nextTo"/>
        <c:txPr>
          <a:bodyPr/>
          <a:lstStyle/>
          <a:p>
            <a:pPr>
              <a:defRPr b="1"/>
            </a:pPr>
            <a:endParaRPr lang="en-US"/>
          </a:p>
        </c:txPr>
        <c:crossAx val="317113632"/>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poly"/>
            <c:order val="3"/>
            <c:dispRSqr val="1"/>
            <c:dispEq val="1"/>
            <c:trendlineLbl>
              <c:layout>
                <c:manualLayout>
                  <c:x val="0.14909563133876558"/>
                  <c:y val="-0.1963830562846311"/>
                </c:manualLayout>
              </c:layout>
              <c:numFmt formatCode="General" sourceLinked="0"/>
            </c:trendlineLbl>
          </c:trendline>
          <c:xVal>
            <c:numRef>
              <c:f>'[2]Drying Eff'!$E$35:$Q$35</c:f>
              <c:numCache>
                <c:formatCode>General</c:formatCode>
                <c:ptCount val="13"/>
                <c:pt idx="0">
                  <c:v>0.18</c:v>
                </c:pt>
                <c:pt idx="1">
                  <c:v>0.19</c:v>
                </c:pt>
                <c:pt idx="2">
                  <c:v>0.2</c:v>
                </c:pt>
                <c:pt idx="3">
                  <c:v>0.21</c:v>
                </c:pt>
                <c:pt idx="4">
                  <c:v>0.22</c:v>
                </c:pt>
                <c:pt idx="5">
                  <c:v>0.23</c:v>
                </c:pt>
                <c:pt idx="6">
                  <c:v>0.24</c:v>
                </c:pt>
                <c:pt idx="7">
                  <c:v>0.25</c:v>
                </c:pt>
                <c:pt idx="8">
                  <c:v>0.26</c:v>
                </c:pt>
                <c:pt idx="9">
                  <c:v>0.27</c:v>
                </c:pt>
                <c:pt idx="10">
                  <c:v>0.28000000000000003</c:v>
                </c:pt>
                <c:pt idx="11">
                  <c:v>0.28999999999999998</c:v>
                </c:pt>
                <c:pt idx="12">
                  <c:v>0.3</c:v>
                </c:pt>
              </c:numCache>
            </c:numRef>
          </c:xVal>
          <c:yVal>
            <c:numRef>
              <c:f>'[2]Drying Eff'!$E$43:$Q$43</c:f>
              <c:numCache>
                <c:formatCode>General</c:formatCode>
                <c:ptCount val="13"/>
                <c:pt idx="0">
                  <c:v>2944.6785714285738</c:v>
                </c:pt>
                <c:pt idx="1">
                  <c:v>2803.1785714285725</c:v>
                </c:pt>
                <c:pt idx="2">
                  <c:v>2705.7142857142862</c:v>
                </c:pt>
                <c:pt idx="3">
                  <c:v>2593.3630952380959</c:v>
                </c:pt>
                <c:pt idx="4">
                  <c:v>2504.954081632653</c:v>
                </c:pt>
                <c:pt idx="5">
                  <c:v>2409.3437500000005</c:v>
                </c:pt>
                <c:pt idx="6">
                  <c:v>2329.3095238095243</c:v>
                </c:pt>
                <c:pt idx="7">
                  <c:v>2245.0446428571431</c:v>
                </c:pt>
                <c:pt idx="8">
                  <c:v>2176.5129870129867</c:v>
                </c:pt>
                <c:pt idx="9">
                  <c:v>2104.2901785714284</c:v>
                </c:pt>
                <c:pt idx="10">
                  <c:v>2039.736263736263</c:v>
                </c:pt>
                <c:pt idx="11">
                  <c:v>1974.325255102041</c:v>
                </c:pt>
                <c:pt idx="12">
                  <c:v>1914.8333333333333</c:v>
                </c:pt>
              </c:numCache>
            </c:numRef>
          </c:yVal>
          <c:smooth val="1"/>
          <c:extLst>
            <c:ext xmlns:c16="http://schemas.microsoft.com/office/drawing/2014/chart" uri="{C3380CC4-5D6E-409C-BE32-E72D297353CC}">
              <c16:uniqueId val="{00000000-01FB-4643-84E6-C162C107E222}"/>
            </c:ext>
          </c:extLst>
        </c:ser>
        <c:ser>
          <c:idx val="1"/>
          <c:order val="1"/>
          <c:tx>
            <c:strRef>
              <c:f>'[2]Drying Eff'!$A$49</c:f>
              <c:strCache>
                <c:ptCount val="1"/>
                <c:pt idx="0">
                  <c:v>DE^215.0</c:v>
                </c:pt>
              </c:strCache>
            </c:strRef>
          </c:tx>
          <c:spPr>
            <a:ln>
              <a:solidFill>
                <a:schemeClr val="accent4">
                  <a:shade val="95000"/>
                  <a:satMod val="105000"/>
                </a:schemeClr>
              </a:solidFill>
              <a:prstDash val="sysDash"/>
            </a:ln>
          </c:spPr>
          <c:marker>
            <c:symbol val="none"/>
          </c:marker>
          <c:xVal>
            <c:numRef>
              <c:f>'[2]Drying Eff'!$D$35:$S$35</c:f>
              <c:numCache>
                <c:formatCode>General</c:formatCode>
                <c:ptCount val="16"/>
                <c:pt idx="0">
                  <c:v>0.16999999999999998</c:v>
                </c:pt>
                <c:pt idx="1">
                  <c:v>0.18</c:v>
                </c:pt>
                <c:pt idx="2">
                  <c:v>0.19</c:v>
                </c:pt>
                <c:pt idx="3">
                  <c:v>0.2</c:v>
                </c:pt>
                <c:pt idx="4">
                  <c:v>0.21</c:v>
                </c:pt>
                <c:pt idx="5">
                  <c:v>0.22</c:v>
                </c:pt>
                <c:pt idx="6">
                  <c:v>0.23</c:v>
                </c:pt>
                <c:pt idx="7">
                  <c:v>0.24</c:v>
                </c:pt>
                <c:pt idx="8">
                  <c:v>0.25</c:v>
                </c:pt>
                <c:pt idx="9">
                  <c:v>0.26</c:v>
                </c:pt>
                <c:pt idx="10">
                  <c:v>0.27</c:v>
                </c:pt>
                <c:pt idx="11">
                  <c:v>0.28000000000000003</c:v>
                </c:pt>
                <c:pt idx="12">
                  <c:v>0.28999999999999998</c:v>
                </c:pt>
                <c:pt idx="13">
                  <c:v>0.3</c:v>
                </c:pt>
                <c:pt idx="14">
                  <c:v>0.31</c:v>
                </c:pt>
                <c:pt idx="15">
                  <c:v>0.32</c:v>
                </c:pt>
              </c:numCache>
            </c:numRef>
          </c:xVal>
          <c:yVal>
            <c:numRef>
              <c:f>'[2]Drying Eff'!$D$49:$S$49</c:f>
              <c:numCache>
                <c:formatCode>General</c:formatCode>
                <c:ptCount val="16"/>
                <c:pt idx="0">
                  <c:v>3071.9726770000007</c:v>
                </c:pt>
                <c:pt idx="1">
                  <c:v>2938.3399280000003</c:v>
                </c:pt>
                <c:pt idx="2">
                  <c:v>2815.0965110000006</c:v>
                </c:pt>
                <c:pt idx="3">
                  <c:v>2701.4319999999998</c:v>
                </c:pt>
                <c:pt idx="4">
                  <c:v>2596.5359690000005</c:v>
                </c:pt>
                <c:pt idx="5">
                  <c:v>2499.5979920000009</c:v>
                </c:pt>
                <c:pt idx="6">
                  <c:v>2409.807643000001</c:v>
                </c:pt>
                <c:pt idx="7">
                  <c:v>2326.3544959999999</c:v>
                </c:pt>
                <c:pt idx="8">
                  <c:v>2248.4281250000004</c:v>
                </c:pt>
                <c:pt idx="9">
                  <c:v>2175.2181040000005</c:v>
                </c:pt>
                <c:pt idx="10">
                  <c:v>2105.9140070000003</c:v>
                </c:pt>
                <c:pt idx="11">
                  <c:v>2039.7054079999998</c:v>
                </c:pt>
                <c:pt idx="12">
                  <c:v>1975.781880999999</c:v>
                </c:pt>
                <c:pt idx="13">
                  <c:v>1913.3330000000005</c:v>
                </c:pt>
                <c:pt idx="14">
                  <c:v>1851.5483389999999</c:v>
                </c:pt>
                <c:pt idx="15">
                  <c:v>1789.6174720000008</c:v>
                </c:pt>
              </c:numCache>
            </c:numRef>
          </c:yVal>
          <c:smooth val="1"/>
          <c:extLst>
            <c:ext xmlns:c16="http://schemas.microsoft.com/office/drawing/2014/chart" uri="{C3380CC4-5D6E-409C-BE32-E72D297353CC}">
              <c16:uniqueId val="{00000001-01FB-4643-84E6-C162C107E222}"/>
            </c:ext>
          </c:extLst>
        </c:ser>
        <c:ser>
          <c:idx val="2"/>
          <c:order val="2"/>
          <c:xVal>
            <c:numRef>
              <c:f>'[2]Drying Eff'!$E$35:$Q$35</c:f>
              <c:numCache>
                <c:formatCode>General</c:formatCode>
                <c:ptCount val="13"/>
                <c:pt idx="0">
                  <c:v>0.18</c:v>
                </c:pt>
                <c:pt idx="1">
                  <c:v>0.19</c:v>
                </c:pt>
                <c:pt idx="2">
                  <c:v>0.2</c:v>
                </c:pt>
                <c:pt idx="3">
                  <c:v>0.21</c:v>
                </c:pt>
                <c:pt idx="4">
                  <c:v>0.22</c:v>
                </c:pt>
                <c:pt idx="5">
                  <c:v>0.23</c:v>
                </c:pt>
                <c:pt idx="6">
                  <c:v>0.24</c:v>
                </c:pt>
                <c:pt idx="7">
                  <c:v>0.25</c:v>
                </c:pt>
                <c:pt idx="8">
                  <c:v>0.26</c:v>
                </c:pt>
                <c:pt idx="9">
                  <c:v>0.27</c:v>
                </c:pt>
                <c:pt idx="10">
                  <c:v>0.28000000000000003</c:v>
                </c:pt>
                <c:pt idx="11">
                  <c:v>0.28999999999999998</c:v>
                </c:pt>
                <c:pt idx="12">
                  <c:v>0.3</c:v>
                </c:pt>
              </c:numCache>
            </c:numRef>
          </c:xVal>
          <c:yVal>
            <c:numRef>
              <c:f>'[2]Drying Eff'!$E$43:$Q$43</c:f>
              <c:numCache>
                <c:formatCode>General</c:formatCode>
                <c:ptCount val="13"/>
                <c:pt idx="0">
                  <c:v>2944.6785714285738</c:v>
                </c:pt>
                <c:pt idx="1">
                  <c:v>2803.1785714285725</c:v>
                </c:pt>
                <c:pt idx="2">
                  <c:v>2705.7142857142862</c:v>
                </c:pt>
                <c:pt idx="3">
                  <c:v>2593.3630952380959</c:v>
                </c:pt>
                <c:pt idx="4">
                  <c:v>2504.954081632653</c:v>
                </c:pt>
                <c:pt idx="5">
                  <c:v>2409.3437500000005</c:v>
                </c:pt>
                <c:pt idx="6">
                  <c:v>2329.3095238095243</c:v>
                </c:pt>
                <c:pt idx="7">
                  <c:v>2245.0446428571431</c:v>
                </c:pt>
                <c:pt idx="8">
                  <c:v>2176.5129870129867</c:v>
                </c:pt>
                <c:pt idx="9">
                  <c:v>2104.2901785714284</c:v>
                </c:pt>
                <c:pt idx="10">
                  <c:v>2039.736263736263</c:v>
                </c:pt>
                <c:pt idx="11">
                  <c:v>1974.325255102041</c:v>
                </c:pt>
                <c:pt idx="12">
                  <c:v>1914.8333333333333</c:v>
                </c:pt>
              </c:numCache>
            </c:numRef>
          </c:yVal>
          <c:smooth val="1"/>
          <c:extLst>
            <c:ext xmlns:c16="http://schemas.microsoft.com/office/drawing/2014/chart" uri="{C3380CC4-5D6E-409C-BE32-E72D297353CC}">
              <c16:uniqueId val="{00000002-01FB-4643-84E6-C162C107E222}"/>
            </c:ext>
          </c:extLst>
        </c:ser>
        <c:ser>
          <c:idx val="3"/>
          <c:order val="3"/>
          <c:tx>
            <c:strRef>
              <c:f>'[2]Drying Eff'!$A$49</c:f>
              <c:strCache>
                <c:ptCount val="1"/>
                <c:pt idx="0">
                  <c:v>DE^215.0</c:v>
                </c:pt>
              </c:strCache>
            </c:strRef>
          </c:tx>
          <c:spPr>
            <a:ln>
              <a:solidFill>
                <a:schemeClr val="accent4">
                  <a:shade val="95000"/>
                  <a:satMod val="105000"/>
                </a:schemeClr>
              </a:solidFill>
              <a:prstDash val="sysDash"/>
            </a:ln>
          </c:spPr>
          <c:xVal>
            <c:numRef>
              <c:f>'[2]Drying Eff'!$D$35:$S$35</c:f>
              <c:numCache>
                <c:formatCode>General</c:formatCode>
                <c:ptCount val="16"/>
                <c:pt idx="0">
                  <c:v>0.16999999999999998</c:v>
                </c:pt>
                <c:pt idx="1">
                  <c:v>0.18</c:v>
                </c:pt>
                <c:pt idx="2">
                  <c:v>0.19</c:v>
                </c:pt>
                <c:pt idx="3">
                  <c:v>0.2</c:v>
                </c:pt>
                <c:pt idx="4">
                  <c:v>0.21</c:v>
                </c:pt>
                <c:pt idx="5">
                  <c:v>0.22</c:v>
                </c:pt>
                <c:pt idx="6">
                  <c:v>0.23</c:v>
                </c:pt>
                <c:pt idx="7">
                  <c:v>0.24</c:v>
                </c:pt>
                <c:pt idx="8">
                  <c:v>0.25</c:v>
                </c:pt>
                <c:pt idx="9">
                  <c:v>0.26</c:v>
                </c:pt>
                <c:pt idx="10">
                  <c:v>0.27</c:v>
                </c:pt>
                <c:pt idx="11">
                  <c:v>0.28000000000000003</c:v>
                </c:pt>
                <c:pt idx="12">
                  <c:v>0.28999999999999998</c:v>
                </c:pt>
                <c:pt idx="13">
                  <c:v>0.3</c:v>
                </c:pt>
                <c:pt idx="14">
                  <c:v>0.31</c:v>
                </c:pt>
                <c:pt idx="15">
                  <c:v>0.32</c:v>
                </c:pt>
              </c:numCache>
            </c:numRef>
          </c:xVal>
          <c:yVal>
            <c:numRef>
              <c:f>'[2]Drying Eff'!$D$49:$S$49</c:f>
              <c:numCache>
                <c:formatCode>General</c:formatCode>
                <c:ptCount val="16"/>
                <c:pt idx="0">
                  <c:v>3071.9726770000007</c:v>
                </c:pt>
                <c:pt idx="1">
                  <c:v>2938.3399280000003</c:v>
                </c:pt>
                <c:pt idx="2">
                  <c:v>2815.0965110000006</c:v>
                </c:pt>
                <c:pt idx="3">
                  <c:v>2701.4319999999998</c:v>
                </c:pt>
                <c:pt idx="4">
                  <c:v>2596.5359690000005</c:v>
                </c:pt>
                <c:pt idx="5">
                  <c:v>2499.5979920000009</c:v>
                </c:pt>
                <c:pt idx="6">
                  <c:v>2409.807643000001</c:v>
                </c:pt>
                <c:pt idx="7">
                  <c:v>2326.3544959999999</c:v>
                </c:pt>
                <c:pt idx="8">
                  <c:v>2248.4281250000004</c:v>
                </c:pt>
                <c:pt idx="9">
                  <c:v>2175.2181040000005</c:v>
                </c:pt>
                <c:pt idx="10">
                  <c:v>2105.9140070000003</c:v>
                </c:pt>
                <c:pt idx="11">
                  <c:v>2039.7054079999998</c:v>
                </c:pt>
                <c:pt idx="12">
                  <c:v>1975.781880999999</c:v>
                </c:pt>
                <c:pt idx="13">
                  <c:v>1913.3330000000005</c:v>
                </c:pt>
                <c:pt idx="14">
                  <c:v>1851.5483389999999</c:v>
                </c:pt>
                <c:pt idx="15">
                  <c:v>1789.6174720000008</c:v>
                </c:pt>
              </c:numCache>
            </c:numRef>
          </c:yVal>
          <c:smooth val="1"/>
          <c:extLst>
            <c:ext xmlns:c16="http://schemas.microsoft.com/office/drawing/2014/chart" uri="{C3380CC4-5D6E-409C-BE32-E72D297353CC}">
              <c16:uniqueId val="{00000003-01FB-4643-84E6-C162C107E222}"/>
            </c:ext>
          </c:extLst>
        </c:ser>
        <c:dLbls>
          <c:showLegendKey val="0"/>
          <c:showVal val="0"/>
          <c:showCatName val="0"/>
          <c:showSerName val="0"/>
          <c:showPercent val="0"/>
          <c:showBubbleSize val="0"/>
        </c:dLbls>
        <c:axId val="317115272"/>
        <c:axId val="1"/>
      </c:scatterChart>
      <c:valAx>
        <c:axId val="317115272"/>
        <c:scaling>
          <c:orientation val="minMax"/>
          <c:min val="0.15000000000000002"/>
        </c:scaling>
        <c:delete val="0"/>
        <c:axPos val="b"/>
        <c:majorGridlines/>
        <c:minorGridlines/>
        <c:title>
          <c:tx>
            <c:rich>
              <a:bodyPr/>
              <a:lstStyle/>
              <a:p>
                <a:pPr>
                  <a:defRPr/>
                </a:pPr>
                <a:r>
                  <a:rPr lang="en-US"/>
                  <a:t>Corn Moisture, %wb</a:t>
                </a:r>
              </a:p>
            </c:rich>
          </c:tx>
          <c:overlay val="0"/>
        </c:title>
        <c:numFmt formatCode="0%" sourceLinked="0"/>
        <c:majorTickMark val="out"/>
        <c:minorTickMark val="out"/>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crossBetween val="midCat"/>
        <c:minorUnit val="1.0000000000000002E-2"/>
      </c:valAx>
      <c:valAx>
        <c:axId val="1"/>
        <c:scaling>
          <c:orientation val="minMax"/>
          <c:min val="1000"/>
        </c:scaling>
        <c:delete val="0"/>
        <c:axPos val="l"/>
        <c:majorGridlines/>
        <c:minorGridlines/>
        <c:title>
          <c:tx>
            <c:rich>
              <a:bodyPr/>
              <a:lstStyle/>
              <a:p>
                <a:pPr>
                  <a:defRPr/>
                </a:pPr>
                <a:r>
                  <a:rPr lang="en-US"/>
                  <a:t>Drying Efficiency, Btu/lb H2O</a:t>
                </a:r>
              </a:p>
            </c:rich>
          </c:tx>
          <c:overlay val="0"/>
        </c:title>
        <c:numFmt formatCode="General" sourceLinked="1"/>
        <c:majorTickMark val="out"/>
        <c:minorTickMark val="none"/>
        <c:tickLblPos val="nextTo"/>
        <c:txPr>
          <a:bodyPr/>
          <a:lstStyle/>
          <a:p>
            <a:pPr>
              <a:defRPr b="1"/>
            </a:pPr>
            <a:endParaRPr lang="en-US"/>
          </a:p>
        </c:txPr>
        <c:crossAx val="31711527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poly"/>
            <c:order val="3"/>
            <c:dispRSqr val="0"/>
            <c:dispEq val="0"/>
          </c:trendline>
          <c:xVal>
            <c:numRef>
              <c:f>'[2]Drying Eff'!$E$35:$Q$35</c:f>
              <c:numCache>
                <c:formatCode>General</c:formatCode>
                <c:ptCount val="13"/>
                <c:pt idx="0">
                  <c:v>0.18</c:v>
                </c:pt>
                <c:pt idx="1">
                  <c:v>0.19</c:v>
                </c:pt>
                <c:pt idx="2">
                  <c:v>0.2</c:v>
                </c:pt>
                <c:pt idx="3">
                  <c:v>0.21</c:v>
                </c:pt>
                <c:pt idx="4">
                  <c:v>0.22</c:v>
                </c:pt>
                <c:pt idx="5">
                  <c:v>0.23</c:v>
                </c:pt>
                <c:pt idx="6">
                  <c:v>0.24</c:v>
                </c:pt>
                <c:pt idx="7">
                  <c:v>0.25</c:v>
                </c:pt>
                <c:pt idx="8">
                  <c:v>0.26</c:v>
                </c:pt>
                <c:pt idx="9">
                  <c:v>0.27</c:v>
                </c:pt>
                <c:pt idx="10">
                  <c:v>0.28000000000000003</c:v>
                </c:pt>
                <c:pt idx="11">
                  <c:v>0.28999999999999998</c:v>
                </c:pt>
                <c:pt idx="12">
                  <c:v>0.3</c:v>
                </c:pt>
              </c:numCache>
            </c:numRef>
          </c:xVal>
          <c:yVal>
            <c:numRef>
              <c:f>'[2]Drying Eff'!$E$43:$Q$43</c:f>
              <c:numCache>
                <c:formatCode>General</c:formatCode>
                <c:ptCount val="13"/>
                <c:pt idx="0">
                  <c:v>2944.6785714285738</c:v>
                </c:pt>
                <c:pt idx="1">
                  <c:v>2803.1785714285725</c:v>
                </c:pt>
                <c:pt idx="2">
                  <c:v>2705.7142857142862</c:v>
                </c:pt>
                <c:pt idx="3">
                  <c:v>2593.3630952380959</c:v>
                </c:pt>
                <c:pt idx="4">
                  <c:v>2504.954081632653</c:v>
                </c:pt>
                <c:pt idx="5">
                  <c:v>2409.3437500000005</c:v>
                </c:pt>
                <c:pt idx="6">
                  <c:v>2329.3095238095243</c:v>
                </c:pt>
                <c:pt idx="7">
                  <c:v>2245.0446428571431</c:v>
                </c:pt>
                <c:pt idx="8">
                  <c:v>2176.5129870129867</c:v>
                </c:pt>
                <c:pt idx="9">
                  <c:v>2104.2901785714284</c:v>
                </c:pt>
                <c:pt idx="10">
                  <c:v>2039.736263736263</c:v>
                </c:pt>
                <c:pt idx="11">
                  <c:v>1974.325255102041</c:v>
                </c:pt>
                <c:pt idx="12">
                  <c:v>1914.8333333333333</c:v>
                </c:pt>
              </c:numCache>
            </c:numRef>
          </c:yVal>
          <c:smooth val="1"/>
          <c:extLst>
            <c:ext xmlns:c16="http://schemas.microsoft.com/office/drawing/2014/chart" uri="{C3380CC4-5D6E-409C-BE32-E72D297353CC}">
              <c16:uniqueId val="{00000000-B5E9-4761-AFA6-0C2C81CC343B}"/>
            </c:ext>
          </c:extLst>
        </c:ser>
        <c:ser>
          <c:idx val="1"/>
          <c:order val="1"/>
          <c:tx>
            <c:strRef>
              <c:f>'[2]Drying Eff'!$A$49</c:f>
              <c:strCache>
                <c:ptCount val="1"/>
                <c:pt idx="0">
                  <c:v>DE^215.0</c:v>
                </c:pt>
              </c:strCache>
            </c:strRef>
          </c:tx>
          <c:spPr>
            <a:ln>
              <a:solidFill>
                <a:schemeClr val="bg1"/>
              </a:solidFill>
              <a:prstDash val="sysDash"/>
            </a:ln>
          </c:spPr>
          <c:marker>
            <c:symbol val="none"/>
          </c:marker>
          <c:xVal>
            <c:numRef>
              <c:f>'[2]Drying Eff'!$D$35:$S$35</c:f>
              <c:numCache>
                <c:formatCode>General</c:formatCode>
                <c:ptCount val="16"/>
                <c:pt idx="0">
                  <c:v>0.16999999999999998</c:v>
                </c:pt>
                <c:pt idx="1">
                  <c:v>0.18</c:v>
                </c:pt>
                <c:pt idx="2">
                  <c:v>0.19</c:v>
                </c:pt>
                <c:pt idx="3">
                  <c:v>0.2</c:v>
                </c:pt>
                <c:pt idx="4">
                  <c:v>0.21</c:v>
                </c:pt>
                <c:pt idx="5">
                  <c:v>0.22</c:v>
                </c:pt>
                <c:pt idx="6">
                  <c:v>0.23</c:v>
                </c:pt>
                <c:pt idx="7">
                  <c:v>0.24</c:v>
                </c:pt>
                <c:pt idx="8">
                  <c:v>0.25</c:v>
                </c:pt>
                <c:pt idx="9">
                  <c:v>0.26</c:v>
                </c:pt>
                <c:pt idx="10">
                  <c:v>0.27</c:v>
                </c:pt>
                <c:pt idx="11">
                  <c:v>0.28000000000000003</c:v>
                </c:pt>
                <c:pt idx="12">
                  <c:v>0.28999999999999998</c:v>
                </c:pt>
                <c:pt idx="13">
                  <c:v>0.3</c:v>
                </c:pt>
                <c:pt idx="14">
                  <c:v>0.31</c:v>
                </c:pt>
                <c:pt idx="15">
                  <c:v>0.32</c:v>
                </c:pt>
              </c:numCache>
            </c:numRef>
          </c:xVal>
          <c:yVal>
            <c:numRef>
              <c:f>'[2]Drying Eff'!$D$49:$S$49</c:f>
              <c:numCache>
                <c:formatCode>General</c:formatCode>
                <c:ptCount val="16"/>
                <c:pt idx="0">
                  <c:v>3071.9726770000007</c:v>
                </c:pt>
                <c:pt idx="1">
                  <c:v>2938.3399280000003</c:v>
                </c:pt>
                <c:pt idx="2">
                  <c:v>2815.0965110000006</c:v>
                </c:pt>
                <c:pt idx="3">
                  <c:v>2701.4319999999998</c:v>
                </c:pt>
                <c:pt idx="4">
                  <c:v>2596.5359690000005</c:v>
                </c:pt>
                <c:pt idx="5">
                  <c:v>2499.5979920000009</c:v>
                </c:pt>
                <c:pt idx="6">
                  <c:v>2409.807643000001</c:v>
                </c:pt>
                <c:pt idx="7">
                  <c:v>2326.3544959999999</c:v>
                </c:pt>
                <c:pt idx="8">
                  <c:v>2248.4281250000004</c:v>
                </c:pt>
                <c:pt idx="9">
                  <c:v>2175.2181040000005</c:v>
                </c:pt>
                <c:pt idx="10">
                  <c:v>2105.9140070000003</c:v>
                </c:pt>
                <c:pt idx="11">
                  <c:v>2039.7054079999998</c:v>
                </c:pt>
                <c:pt idx="12">
                  <c:v>1975.781880999999</c:v>
                </c:pt>
                <c:pt idx="13">
                  <c:v>1913.3330000000005</c:v>
                </c:pt>
                <c:pt idx="14">
                  <c:v>1851.5483389999999</c:v>
                </c:pt>
                <c:pt idx="15">
                  <c:v>1789.6174720000008</c:v>
                </c:pt>
              </c:numCache>
            </c:numRef>
          </c:yVal>
          <c:smooth val="1"/>
          <c:extLst>
            <c:ext xmlns:c16="http://schemas.microsoft.com/office/drawing/2014/chart" uri="{C3380CC4-5D6E-409C-BE32-E72D297353CC}">
              <c16:uniqueId val="{00000001-B5E9-4761-AFA6-0C2C81CC343B}"/>
            </c:ext>
          </c:extLst>
        </c:ser>
        <c:dLbls>
          <c:showLegendKey val="0"/>
          <c:showVal val="0"/>
          <c:showCatName val="0"/>
          <c:showSerName val="0"/>
          <c:showPercent val="0"/>
          <c:showBubbleSize val="0"/>
        </c:dLbls>
        <c:axId val="317116584"/>
        <c:axId val="1"/>
      </c:scatterChart>
      <c:valAx>
        <c:axId val="317116584"/>
        <c:scaling>
          <c:orientation val="minMax"/>
          <c:min val="0.15000000000000002"/>
        </c:scaling>
        <c:delete val="0"/>
        <c:axPos val="b"/>
        <c:majorGridlines/>
        <c:minorGridlines/>
        <c:title>
          <c:tx>
            <c:rich>
              <a:bodyPr/>
              <a:lstStyle/>
              <a:p>
                <a:pPr>
                  <a:defRPr/>
                </a:pPr>
                <a:r>
                  <a:rPr lang="en-US"/>
                  <a:t>Corn Moisture, %wb</a:t>
                </a:r>
              </a:p>
            </c:rich>
          </c:tx>
          <c:overlay val="0"/>
        </c:title>
        <c:numFmt formatCode="0%" sourceLinked="0"/>
        <c:majorTickMark val="out"/>
        <c:minorTickMark val="out"/>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crossBetween val="midCat"/>
        <c:minorUnit val="1.0000000000000002E-2"/>
      </c:valAx>
      <c:valAx>
        <c:axId val="1"/>
        <c:scaling>
          <c:orientation val="minMax"/>
          <c:min val="1000"/>
        </c:scaling>
        <c:delete val="0"/>
        <c:axPos val="l"/>
        <c:majorGridlines/>
        <c:minorGridlines/>
        <c:title>
          <c:tx>
            <c:rich>
              <a:bodyPr/>
              <a:lstStyle/>
              <a:p>
                <a:pPr>
                  <a:defRPr/>
                </a:pPr>
                <a:r>
                  <a:rPr lang="en-US"/>
                  <a:t>Drying Efficiency, Btu/lb H2O</a:t>
                </a:r>
              </a:p>
            </c:rich>
          </c:tx>
          <c:overlay val="0"/>
        </c:title>
        <c:numFmt formatCode="General" sourceLinked="1"/>
        <c:majorTickMark val="out"/>
        <c:minorTickMark val="none"/>
        <c:tickLblPos val="nextTo"/>
        <c:txPr>
          <a:bodyPr/>
          <a:lstStyle/>
          <a:p>
            <a:pPr>
              <a:defRPr b="1"/>
            </a:pPr>
            <a:endParaRPr lang="en-US"/>
          </a:p>
        </c:txPr>
        <c:crossAx val="3171165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5.xml"/><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75</xdr:row>
      <xdr:rowOff>19050</xdr:rowOff>
    </xdr:from>
    <xdr:to>
      <xdr:col>14</xdr:col>
      <xdr:colOff>523875</xdr:colOff>
      <xdr:row>76</xdr:row>
      <xdr:rowOff>142875</xdr:rowOff>
    </xdr:to>
    <xdr:pic>
      <xdr:nvPicPr>
        <xdr:cNvPr id="1100" name="Picture 2" descr="CESfooter">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53700"/>
          <a:ext cx="6553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314325</xdr:colOff>
      <xdr:row>43</xdr:row>
      <xdr:rowOff>9525</xdr:rowOff>
    </xdr:from>
    <xdr:to>
      <xdr:col>22</xdr:col>
      <xdr:colOff>9525</xdr:colOff>
      <xdr:row>60</xdr:row>
      <xdr:rowOff>0</xdr:rowOff>
    </xdr:to>
    <xdr:graphicFrame macro="">
      <xdr:nvGraphicFramePr>
        <xdr:cNvPr id="1102" name="Chart 2">
          <a:extLst>
            <a:ext uri="{FF2B5EF4-FFF2-40B4-BE49-F238E27FC236}">
              <a16:creationId xmlns:a16="http://schemas.microsoft.com/office/drawing/2014/main" id="{00000000-0008-0000-0000-00004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28576</xdr:colOff>
      <xdr:row>0</xdr:row>
      <xdr:rowOff>47625</xdr:rowOff>
    </xdr:from>
    <xdr:to>
      <xdr:col>8</xdr:col>
      <xdr:colOff>628650</xdr:colOff>
      <xdr:row>7</xdr:row>
      <xdr:rowOff>7061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219076" y="47625"/>
          <a:ext cx="5124449" cy="1092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24</xdr:row>
      <xdr:rowOff>0</xdr:rowOff>
    </xdr:from>
    <xdr:to>
      <xdr:col>19</xdr:col>
      <xdr:colOff>209550</xdr:colOff>
      <xdr:row>41</xdr:row>
      <xdr:rowOff>95250</xdr:rowOff>
    </xdr:to>
    <xdr:graphicFrame macro="">
      <xdr:nvGraphicFramePr>
        <xdr:cNvPr id="4270" name="Chart 1">
          <a:extLst>
            <a:ext uri="{FF2B5EF4-FFF2-40B4-BE49-F238E27FC236}">
              <a16:creationId xmlns:a16="http://schemas.microsoft.com/office/drawing/2014/main" id="{00000000-0008-0000-0100-0000A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60</xdr:row>
      <xdr:rowOff>66675</xdr:rowOff>
    </xdr:from>
    <xdr:to>
      <xdr:col>18</xdr:col>
      <xdr:colOff>28575</xdr:colOff>
      <xdr:row>79</xdr:row>
      <xdr:rowOff>0</xdr:rowOff>
    </xdr:to>
    <xdr:graphicFrame macro="">
      <xdr:nvGraphicFramePr>
        <xdr:cNvPr id="4271" name="Chart 2">
          <a:extLst>
            <a:ext uri="{FF2B5EF4-FFF2-40B4-BE49-F238E27FC236}">
              <a16:creationId xmlns:a16="http://schemas.microsoft.com/office/drawing/2014/main" id="{00000000-0008-0000-0100-0000A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42</xdr:row>
      <xdr:rowOff>57150</xdr:rowOff>
    </xdr:from>
    <xdr:to>
      <xdr:col>18</xdr:col>
      <xdr:colOff>57150</xdr:colOff>
      <xdr:row>59</xdr:row>
      <xdr:rowOff>152400</xdr:rowOff>
    </xdr:to>
    <xdr:graphicFrame macro="">
      <xdr:nvGraphicFramePr>
        <xdr:cNvPr id="4272" name="Chart 3">
          <a:extLst>
            <a:ext uri="{FF2B5EF4-FFF2-40B4-BE49-F238E27FC236}">
              <a16:creationId xmlns:a16="http://schemas.microsoft.com/office/drawing/2014/main" id="{00000000-0008-0000-0100-0000B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85725</xdr:colOff>
      <xdr:row>42</xdr:row>
      <xdr:rowOff>85725</xdr:rowOff>
    </xdr:from>
    <xdr:to>
      <xdr:col>8</xdr:col>
      <xdr:colOff>76200</xdr:colOff>
      <xdr:row>63</xdr:row>
      <xdr:rowOff>123825</xdr:rowOff>
    </xdr:to>
    <xdr:pic>
      <xdr:nvPicPr>
        <xdr:cNvPr id="4273" name="Picture 1">
          <a:extLst>
            <a:ext uri="{FF2B5EF4-FFF2-40B4-BE49-F238E27FC236}">
              <a16:creationId xmlns:a16="http://schemas.microsoft.com/office/drawing/2014/main" id="{00000000-0008-0000-0100-0000B11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 y="6886575"/>
          <a:ext cx="4562475"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23</xdr:row>
      <xdr:rowOff>114300</xdr:rowOff>
    </xdr:from>
    <xdr:to>
      <xdr:col>8</xdr:col>
      <xdr:colOff>85725</xdr:colOff>
      <xdr:row>40</xdr:row>
      <xdr:rowOff>104775</xdr:rowOff>
    </xdr:to>
    <xdr:graphicFrame macro="">
      <xdr:nvGraphicFramePr>
        <xdr:cNvPr id="4274" name="Chart 2">
          <a:extLst>
            <a:ext uri="{FF2B5EF4-FFF2-40B4-BE49-F238E27FC236}">
              <a16:creationId xmlns:a16="http://schemas.microsoft.com/office/drawing/2014/main" id="{00000000-0008-0000-0100-0000B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26</xdr:row>
      <xdr:rowOff>0</xdr:rowOff>
    </xdr:from>
    <xdr:to>
      <xdr:col>9</xdr:col>
      <xdr:colOff>266700</xdr:colOff>
      <xdr:row>52</xdr:row>
      <xdr:rowOff>57150</xdr:rowOff>
    </xdr:to>
    <xdr:graphicFrame macro="">
      <xdr:nvGraphicFramePr>
        <xdr:cNvPr id="2154" name="Chart 4">
          <a:extLst>
            <a:ext uri="{FF2B5EF4-FFF2-40B4-BE49-F238E27FC236}">
              <a16:creationId xmlns:a16="http://schemas.microsoft.com/office/drawing/2014/main" id="{00000000-0008-0000-0400-00006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38100</xdr:rowOff>
    </xdr:from>
    <xdr:to>
      <xdr:col>8</xdr:col>
      <xdr:colOff>581025</xdr:colOff>
      <xdr:row>4</xdr:row>
      <xdr:rowOff>95250</xdr:rowOff>
    </xdr:to>
    <xdr:pic>
      <xdr:nvPicPr>
        <xdr:cNvPr id="2155" name="Picture 2" descr="BiosysSig2">
          <a:extLst>
            <a:ext uri="{FF2B5EF4-FFF2-40B4-BE49-F238E27FC236}">
              <a16:creationId xmlns:a16="http://schemas.microsoft.com/office/drawing/2014/main" id="{00000000-0008-0000-0400-00006B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8100"/>
          <a:ext cx="461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61</xdr:row>
      <xdr:rowOff>19050</xdr:rowOff>
    </xdr:from>
    <xdr:to>
      <xdr:col>11</xdr:col>
      <xdr:colOff>552450</xdr:colOff>
      <xdr:row>62</xdr:row>
      <xdr:rowOff>142875</xdr:rowOff>
    </xdr:to>
    <xdr:pic>
      <xdr:nvPicPr>
        <xdr:cNvPr id="2156" name="Picture 3" descr="CESfooter">
          <a:extLst>
            <a:ext uri="{FF2B5EF4-FFF2-40B4-BE49-F238E27FC236}">
              <a16:creationId xmlns:a16="http://schemas.microsoft.com/office/drawing/2014/main" id="{00000000-0008-0000-0400-00006C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9944100"/>
          <a:ext cx="6553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51</xdr:row>
      <xdr:rowOff>28575</xdr:rowOff>
    </xdr:from>
    <xdr:to>
      <xdr:col>11</xdr:col>
      <xdr:colOff>600075</xdr:colOff>
      <xdr:row>72</xdr:row>
      <xdr:rowOff>142875</xdr:rowOff>
    </xdr:to>
    <xdr:graphicFrame macro="">
      <xdr:nvGraphicFramePr>
        <xdr:cNvPr id="14436" name="Chart 1">
          <a:extLst>
            <a:ext uri="{FF2B5EF4-FFF2-40B4-BE49-F238E27FC236}">
              <a16:creationId xmlns:a16="http://schemas.microsoft.com/office/drawing/2014/main" id="{00000000-0008-0000-0500-00006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74</xdr:row>
      <xdr:rowOff>0</xdr:rowOff>
    </xdr:from>
    <xdr:to>
      <xdr:col>11</xdr:col>
      <xdr:colOff>590550</xdr:colOff>
      <xdr:row>95</xdr:row>
      <xdr:rowOff>114300</xdr:rowOff>
    </xdr:to>
    <xdr:graphicFrame macro="">
      <xdr:nvGraphicFramePr>
        <xdr:cNvPr id="14437" name="Chart 2">
          <a:extLst>
            <a:ext uri="{FF2B5EF4-FFF2-40B4-BE49-F238E27FC236}">
              <a16:creationId xmlns:a16="http://schemas.microsoft.com/office/drawing/2014/main" id="{00000000-0008-0000-0500-00006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97</xdr:row>
      <xdr:rowOff>0</xdr:rowOff>
    </xdr:from>
    <xdr:to>
      <xdr:col>11</xdr:col>
      <xdr:colOff>590550</xdr:colOff>
      <xdr:row>118</xdr:row>
      <xdr:rowOff>114300</xdr:rowOff>
    </xdr:to>
    <xdr:graphicFrame macro="">
      <xdr:nvGraphicFramePr>
        <xdr:cNvPr id="14438" name="Chart 3">
          <a:extLst>
            <a:ext uri="{FF2B5EF4-FFF2-40B4-BE49-F238E27FC236}">
              <a16:creationId xmlns:a16="http://schemas.microsoft.com/office/drawing/2014/main" id="{00000000-0008-0000-0500-000066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Local%20Settings\Temporary%20Internet%20Files\OLK29\Grain_trucking_cost-08%20(G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PS-2013\HL%20vs%20drying%20costs%20for%20corn_2013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7">
          <cell r="D67" t="str">
            <v>Fuel/lube</v>
          </cell>
          <cell r="E67" t="str">
            <v>Op-Labor</v>
          </cell>
        </row>
        <row r="68">
          <cell r="C68">
            <v>2.5</v>
          </cell>
          <cell r="D68">
            <v>0.45800000000000002</v>
          </cell>
          <cell r="E68">
            <v>0.99899999999999989</v>
          </cell>
        </row>
        <row r="69">
          <cell r="C69">
            <v>3</v>
          </cell>
          <cell r="D69">
            <v>0.55000000000000004</v>
          </cell>
          <cell r="E69">
            <v>1.091</v>
          </cell>
        </row>
        <row r="70">
          <cell r="C70">
            <v>3.5</v>
          </cell>
          <cell r="D70">
            <v>0.64200000000000002</v>
          </cell>
          <cell r="E70">
            <v>1.1819999999999999</v>
          </cell>
        </row>
        <row r="71">
          <cell r="C71">
            <v>4</v>
          </cell>
          <cell r="D71">
            <v>0.73299999999999998</v>
          </cell>
          <cell r="E71">
            <v>1.274</v>
          </cell>
        </row>
        <row r="72">
          <cell r="C72">
            <v>4.5</v>
          </cell>
          <cell r="D72">
            <v>0.82499999999999996</v>
          </cell>
          <cell r="E72">
            <v>1.3659999999999999</v>
          </cell>
        </row>
        <row r="73">
          <cell r="C73">
            <v>5</v>
          </cell>
          <cell r="D73">
            <v>0.91700000000000004</v>
          </cell>
          <cell r="E73">
            <v>1.4570000000000001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ying Eff"/>
      <sheetName val="FPS 2013"/>
      <sheetName val="Sheet2"/>
      <sheetName val="Sheet3"/>
    </sheetNames>
    <sheetDataSet>
      <sheetData sheetId="0">
        <row r="35">
          <cell r="D35">
            <v>0.16999999999999998</v>
          </cell>
          <cell r="E35">
            <v>0.18</v>
          </cell>
          <cell r="F35">
            <v>0.19</v>
          </cell>
          <cell r="G35">
            <v>0.2</v>
          </cell>
          <cell r="H35">
            <v>0.21</v>
          </cell>
          <cell r="I35">
            <v>0.22</v>
          </cell>
          <cell r="J35">
            <v>0.23</v>
          </cell>
          <cell r="K35">
            <v>0.24</v>
          </cell>
          <cell r="L35">
            <v>0.25</v>
          </cell>
          <cell r="M35">
            <v>0.26</v>
          </cell>
          <cell r="N35">
            <v>0.27</v>
          </cell>
          <cell r="O35">
            <v>0.28000000000000003</v>
          </cell>
          <cell r="P35">
            <v>0.28999999999999998</v>
          </cell>
          <cell r="Q35">
            <v>0.3</v>
          </cell>
          <cell r="R35">
            <v>0.31</v>
          </cell>
          <cell r="S35">
            <v>0.32</v>
          </cell>
        </row>
        <row r="43">
          <cell r="E43">
            <v>2944.6785714285738</v>
          </cell>
          <cell r="F43">
            <v>2803.1785714285725</v>
          </cell>
          <cell r="G43">
            <v>2705.7142857142862</v>
          </cell>
          <cell r="H43">
            <v>2593.3630952380959</v>
          </cell>
          <cell r="I43">
            <v>2504.954081632653</v>
          </cell>
          <cell r="J43">
            <v>2409.3437500000005</v>
          </cell>
          <cell r="K43">
            <v>2329.3095238095243</v>
          </cell>
          <cell r="L43">
            <v>2245.0446428571431</v>
          </cell>
          <cell r="M43">
            <v>2176.5129870129867</v>
          </cell>
          <cell r="N43">
            <v>2104.2901785714284</v>
          </cell>
          <cell r="O43">
            <v>2039.736263736263</v>
          </cell>
          <cell r="P43">
            <v>1974.325255102041</v>
          </cell>
          <cell r="Q43">
            <v>1914.8333333333333</v>
          </cell>
        </row>
        <row r="49">
          <cell r="A49" t="str">
            <v>DE^215.0</v>
          </cell>
          <cell r="D49">
            <v>3071.9726770000007</v>
          </cell>
          <cell r="E49">
            <v>2938.3399280000003</v>
          </cell>
          <cell r="F49">
            <v>2815.0965110000006</v>
          </cell>
          <cell r="G49">
            <v>2701.4319999999998</v>
          </cell>
          <cell r="H49">
            <v>2596.5359690000005</v>
          </cell>
          <cell r="I49">
            <v>2499.5979920000009</v>
          </cell>
          <cell r="J49">
            <v>2409.807643000001</v>
          </cell>
          <cell r="K49">
            <v>2326.3544959999999</v>
          </cell>
          <cell r="L49">
            <v>2248.4281250000004</v>
          </cell>
          <cell r="M49">
            <v>2175.2181040000005</v>
          </cell>
          <cell r="N49">
            <v>2105.9140070000003</v>
          </cell>
          <cell r="O49">
            <v>2039.7054079999998</v>
          </cell>
          <cell r="P49">
            <v>1975.781880999999</v>
          </cell>
          <cell r="Q49">
            <v>1913.3330000000005</v>
          </cell>
          <cell r="R49">
            <v>1851.5483389999999</v>
          </cell>
          <cell r="S49">
            <v>1789.6174720000008</v>
          </cell>
        </row>
        <row r="51">
          <cell r="A51" t="str">
            <v>AEN-34</v>
          </cell>
          <cell r="E51">
            <v>2410</v>
          </cell>
          <cell r="F51">
            <v>2250</v>
          </cell>
          <cell r="G51">
            <v>2110</v>
          </cell>
          <cell r="H51">
            <v>2000</v>
          </cell>
          <cell r="I51">
            <v>1900</v>
          </cell>
          <cell r="J51">
            <v>1800</v>
          </cell>
          <cell r="K51">
            <v>1710</v>
          </cell>
          <cell r="L51">
            <v>1650</v>
          </cell>
          <cell r="M51">
            <v>1600</v>
          </cell>
          <cell r="N51">
            <v>1550</v>
          </cell>
          <cell r="O51">
            <v>1510</v>
          </cell>
          <cell r="P51">
            <v>1480</v>
          </cell>
          <cell r="Q51">
            <v>1450</v>
          </cell>
        </row>
        <row r="54">
          <cell r="A54" t="str">
            <v>DE3^</v>
          </cell>
          <cell r="D54">
            <v>2580.212496000001</v>
          </cell>
          <cell r="E54">
            <v>2407.4169440000014</v>
          </cell>
          <cell r="F54">
            <v>2253.1827280000007</v>
          </cell>
          <cell r="G54">
            <v>2116.3560000000016</v>
          </cell>
          <cell r="H54">
            <v>1995.7829120000006</v>
          </cell>
          <cell r="I54">
            <v>1890.3096160000023</v>
          </cell>
          <cell r="J54">
            <v>1798.7822640000004</v>
          </cell>
          <cell r="K54">
            <v>1720.0470080000023</v>
          </cell>
          <cell r="L54">
            <v>1652.9500000000007</v>
          </cell>
          <cell r="M54">
            <v>1596.3373920000004</v>
          </cell>
          <cell r="N54">
            <v>1549.0553360000022</v>
          </cell>
          <cell r="O54">
            <v>1509.9499840000008</v>
          </cell>
          <cell r="P54">
            <v>1477.8674879999999</v>
          </cell>
          <cell r="Q54">
            <v>1451.6539999999986</v>
          </cell>
          <cell r="R54">
            <v>1430.1556720000017</v>
          </cell>
          <cell r="S54">
            <v>1412.218656</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smcneill@uky.edu"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6"/>
  <sheetViews>
    <sheetView tabSelected="1" workbookViewId="0"/>
  </sheetViews>
  <sheetFormatPr defaultRowHeight="12.75" x14ac:dyDescent="0.2"/>
  <cols>
    <col min="1" max="1" width="2.85546875" customWidth="1"/>
    <col min="4" max="6" width="9.85546875" customWidth="1"/>
    <col min="7" max="10" width="10" customWidth="1"/>
    <col min="11" max="14" width="9.140625" hidden="1" customWidth="1"/>
    <col min="15" max="17" width="9.140625" customWidth="1"/>
    <col min="26" max="28" width="8.7109375" customWidth="1"/>
  </cols>
  <sheetData>
    <row r="2" spans="2:20" x14ac:dyDescent="0.2">
      <c r="Q2" s="230" t="s">
        <v>202</v>
      </c>
      <c r="R2" s="4" t="s">
        <v>196</v>
      </c>
      <c r="S2" s="175" t="s">
        <v>199</v>
      </c>
      <c r="T2" s="175" t="s">
        <v>200</v>
      </c>
    </row>
    <row r="3" spans="2:20" x14ac:dyDescent="0.2">
      <c r="Q3" s="253" t="s">
        <v>194</v>
      </c>
      <c r="R3" s="295" t="s">
        <v>195</v>
      </c>
      <c r="S3" s="295"/>
      <c r="T3" s="295"/>
    </row>
    <row r="4" spans="2:20" x14ac:dyDescent="0.2">
      <c r="Q4" s="259">
        <v>1</v>
      </c>
      <c r="R4" s="254">
        <v>4.1399999999999997</v>
      </c>
      <c r="S4" s="254">
        <v>3.74</v>
      </c>
      <c r="T4" s="254">
        <v>3.97</v>
      </c>
    </row>
    <row r="5" spans="2:20" x14ac:dyDescent="0.2">
      <c r="Q5" s="259">
        <f>Q4+1</f>
        <v>2</v>
      </c>
      <c r="R5" s="254">
        <v>3.39</v>
      </c>
      <c r="S5" s="254">
        <v>3.39</v>
      </c>
      <c r="T5" s="254"/>
    </row>
    <row r="6" spans="2:20" x14ac:dyDescent="0.2">
      <c r="Q6" s="259">
        <f t="shared" ref="Q6:Q27" si="0">Q5+1</f>
        <v>3</v>
      </c>
      <c r="S6" s="254">
        <v>3.44</v>
      </c>
      <c r="T6" s="254">
        <v>3.76</v>
      </c>
    </row>
    <row r="7" spans="2:20" x14ac:dyDescent="0.2">
      <c r="Q7" s="259">
        <f t="shared" si="0"/>
        <v>4</v>
      </c>
      <c r="R7" s="254">
        <v>3.45</v>
      </c>
      <c r="S7" s="254">
        <v>3.45</v>
      </c>
      <c r="T7" s="254">
        <v>3.8</v>
      </c>
    </row>
    <row r="8" spans="2:20" x14ac:dyDescent="0.2">
      <c r="Q8" s="259">
        <f t="shared" si="0"/>
        <v>5</v>
      </c>
      <c r="R8" s="254">
        <v>3.38</v>
      </c>
      <c r="S8" s="254">
        <v>3.38</v>
      </c>
      <c r="T8" s="254">
        <v>3.84</v>
      </c>
    </row>
    <row r="9" spans="2:20" x14ac:dyDescent="0.2">
      <c r="Q9" s="259">
        <f t="shared" si="0"/>
        <v>6</v>
      </c>
      <c r="R9" s="254">
        <v>3.53</v>
      </c>
      <c r="S9" s="254">
        <v>3.54</v>
      </c>
      <c r="T9" s="254">
        <v>3.85</v>
      </c>
    </row>
    <row r="10" spans="2:20" x14ac:dyDescent="0.2">
      <c r="B10" s="1" t="s">
        <v>174</v>
      </c>
      <c r="C10" s="1"/>
      <c r="D10" s="1"/>
      <c r="E10" s="1"/>
      <c r="F10" s="1"/>
      <c r="G10" s="1"/>
      <c r="H10" s="1"/>
      <c r="Q10" s="259">
        <f t="shared" si="0"/>
        <v>7</v>
      </c>
      <c r="R10" s="254">
        <v>3.4</v>
      </c>
      <c r="S10" s="254">
        <v>3.4</v>
      </c>
      <c r="T10" s="254">
        <v>3.75</v>
      </c>
    </row>
    <row r="11" spans="2:20" x14ac:dyDescent="0.2">
      <c r="B11" s="65" t="s">
        <v>175</v>
      </c>
      <c r="C11" s="1"/>
      <c r="Q11" s="259">
        <f t="shared" si="0"/>
        <v>8</v>
      </c>
      <c r="R11" s="254">
        <v>3.38</v>
      </c>
      <c r="S11" s="254">
        <v>3.5</v>
      </c>
      <c r="T11" s="254">
        <v>3.82</v>
      </c>
    </row>
    <row r="12" spans="2:20" ht="13.5" thickBot="1" x14ac:dyDescent="0.25">
      <c r="B12" s="1"/>
      <c r="C12" s="1"/>
      <c r="Q12" s="259">
        <f t="shared" si="0"/>
        <v>9</v>
      </c>
      <c r="R12" s="254">
        <v>3.33</v>
      </c>
      <c r="S12" s="254">
        <v>3.46</v>
      </c>
      <c r="T12" s="254">
        <v>3.8</v>
      </c>
    </row>
    <row r="13" spans="2:20" x14ac:dyDescent="0.2">
      <c r="B13" s="213"/>
      <c r="C13" s="214" t="s">
        <v>163</v>
      </c>
      <c r="D13" s="215">
        <f>3.6</f>
        <v>3.6</v>
      </c>
      <c r="F13" s="224"/>
      <c r="G13" s="97"/>
      <c r="H13" s="278" t="s">
        <v>173</v>
      </c>
      <c r="I13" s="279"/>
      <c r="J13" s="280"/>
      <c r="K13" s="99"/>
      <c r="L13" s="298" t="s">
        <v>165</v>
      </c>
      <c r="M13" s="299"/>
      <c r="N13" s="299"/>
      <c r="Q13" s="259">
        <f t="shared" si="0"/>
        <v>10</v>
      </c>
      <c r="R13" s="254">
        <v>4.0999999999999996</v>
      </c>
      <c r="S13" s="254">
        <v>3.86</v>
      </c>
      <c r="T13" s="254">
        <v>3.92</v>
      </c>
    </row>
    <row r="14" spans="2:20" x14ac:dyDescent="0.2">
      <c r="B14" s="216"/>
      <c r="C14" s="192" t="s">
        <v>164</v>
      </c>
      <c r="D14" s="217">
        <v>1</v>
      </c>
      <c r="F14" s="225"/>
      <c r="G14" s="228" t="s">
        <v>169</v>
      </c>
      <c r="H14" s="91">
        <v>5</v>
      </c>
      <c r="I14" s="91">
        <v>10</v>
      </c>
      <c r="J14" s="102">
        <v>15</v>
      </c>
      <c r="K14" s="102"/>
      <c r="L14" s="132" t="s">
        <v>9</v>
      </c>
      <c r="M14" s="136" t="s">
        <v>10</v>
      </c>
      <c r="N14" s="136" t="s">
        <v>150</v>
      </c>
      <c r="Q14" s="259">
        <f t="shared" si="0"/>
        <v>11</v>
      </c>
      <c r="R14" s="254">
        <v>4.09</v>
      </c>
      <c r="S14" s="254">
        <v>3.69</v>
      </c>
      <c r="T14" s="254">
        <v>3.92</v>
      </c>
    </row>
    <row r="15" spans="2:20" x14ac:dyDescent="0.2">
      <c r="B15" s="218"/>
      <c r="C15" s="63"/>
      <c r="D15" s="219"/>
      <c r="F15" s="226"/>
      <c r="G15" s="229" t="s">
        <v>170</v>
      </c>
      <c r="H15" s="71">
        <f>L15*H$14</f>
        <v>9.0135717625058405</v>
      </c>
      <c r="I15" s="71">
        <f t="shared" ref="H15:J18" si="1">M15*I$14</f>
        <v>15.275670095059999</v>
      </c>
      <c r="J15" s="127">
        <f t="shared" si="1"/>
        <v>19.850392706872373</v>
      </c>
      <c r="K15" s="20" t="s">
        <v>126</v>
      </c>
      <c r="L15" s="72">
        <f>D14*Drying!G13*100</f>
        <v>1.8027143525011682</v>
      </c>
      <c r="M15" s="72">
        <f>D14*Drying!G18*100</f>
        <v>1.5275670095059999</v>
      </c>
      <c r="N15" s="72">
        <f>D14*Drying!G23*100</f>
        <v>1.3233595137914915</v>
      </c>
      <c r="Q15" s="259">
        <f t="shared" si="0"/>
        <v>12</v>
      </c>
      <c r="R15" s="254">
        <v>3.79</v>
      </c>
      <c r="S15" s="254">
        <v>3.84</v>
      </c>
      <c r="T15" s="254">
        <v>4.01</v>
      </c>
    </row>
    <row r="16" spans="2:20" x14ac:dyDescent="0.2">
      <c r="B16" s="286" t="s">
        <v>176</v>
      </c>
      <c r="C16" s="287"/>
      <c r="D16" s="220"/>
      <c r="F16" s="226"/>
      <c r="G16" s="230" t="s">
        <v>171</v>
      </c>
      <c r="H16" s="71">
        <f t="shared" si="1"/>
        <v>0.44875036895690507</v>
      </c>
      <c r="I16" s="71">
        <f t="shared" si="1"/>
        <v>0.89750073791381013</v>
      </c>
      <c r="J16" s="127">
        <f t="shared" si="1"/>
        <v>1.3462511068707153</v>
      </c>
      <c r="K16" s="9" t="s">
        <v>65</v>
      </c>
      <c r="L16" s="72">
        <f>Depreciation!$B15*100</f>
        <v>8.9750073791381016E-2</v>
      </c>
      <c r="M16" s="72">
        <f>Depreciation!$B15*100</f>
        <v>8.9750073791381016E-2</v>
      </c>
      <c r="N16" s="72">
        <f>Depreciation!$B15*100</f>
        <v>8.9750073791381016E-2</v>
      </c>
      <c r="Q16" s="259">
        <f t="shared" si="0"/>
        <v>13</v>
      </c>
      <c r="R16" s="254">
        <v>3.74</v>
      </c>
      <c r="S16" s="254">
        <v>3.79</v>
      </c>
      <c r="T16" s="254">
        <v>3.92</v>
      </c>
    </row>
    <row r="17" spans="2:21" x14ac:dyDescent="0.2">
      <c r="B17" s="288"/>
      <c r="C17" s="287"/>
      <c r="D17" s="221"/>
      <c r="F17" s="226"/>
      <c r="G17" s="230" t="s">
        <v>80</v>
      </c>
      <c r="H17" s="71">
        <f t="shared" si="1"/>
        <v>0.60000000000000009</v>
      </c>
      <c r="I17" s="71">
        <f t="shared" si="1"/>
        <v>0.60000000000000009</v>
      </c>
      <c r="J17" s="127">
        <f t="shared" si="1"/>
        <v>0.6</v>
      </c>
      <c r="K17" s="20" t="s">
        <v>80</v>
      </c>
      <c r="L17" s="72">
        <f>Labor!$B11/5*100</f>
        <v>0.12000000000000001</v>
      </c>
      <c r="M17" s="72">
        <f>Labor!$B11/10*100</f>
        <v>6.0000000000000005E-2</v>
      </c>
      <c r="N17" s="72">
        <f>Labor!$B11/15*100</f>
        <v>0.04</v>
      </c>
      <c r="Q17" s="259">
        <f t="shared" si="0"/>
        <v>14</v>
      </c>
      <c r="R17" s="254">
        <v>3.48</v>
      </c>
      <c r="S17" s="254">
        <v>3.48</v>
      </c>
      <c r="T17" s="254">
        <v>3.82</v>
      </c>
    </row>
    <row r="18" spans="2:21" ht="12.75" customHeight="1" thickBot="1" x14ac:dyDescent="0.25">
      <c r="B18" s="289"/>
      <c r="C18" s="290"/>
      <c r="D18" s="223">
        <v>1750</v>
      </c>
      <c r="F18" s="225"/>
      <c r="G18" s="228" t="s">
        <v>172</v>
      </c>
      <c r="H18" s="103">
        <f t="shared" si="1"/>
        <v>2.6450398724082937</v>
      </c>
      <c r="I18" s="103">
        <f t="shared" si="1"/>
        <v>2.6450398724082937</v>
      </c>
      <c r="J18" s="128">
        <f t="shared" si="1"/>
        <v>2.6450398724082933</v>
      </c>
      <c r="K18" s="23" t="s">
        <v>127</v>
      </c>
      <c r="L18" s="104">
        <f>Trucking!$J23/5</f>
        <v>0.5290079744816587</v>
      </c>
      <c r="M18" s="104">
        <f>Trucking!$J23/10</f>
        <v>0.26450398724082935</v>
      </c>
      <c r="N18" s="104">
        <f>Trucking!$J23/15</f>
        <v>0.17633599149388621</v>
      </c>
      <c r="Q18" s="259">
        <f t="shared" si="0"/>
        <v>15</v>
      </c>
      <c r="R18" s="254">
        <v>3.54</v>
      </c>
      <c r="S18" s="254">
        <v>3.54</v>
      </c>
      <c r="T18" s="254">
        <v>3.81</v>
      </c>
    </row>
    <row r="19" spans="2:21" x14ac:dyDescent="0.2">
      <c r="B19" t="s">
        <v>177</v>
      </c>
      <c r="C19" s="222"/>
      <c r="D19" s="18"/>
      <c r="F19" s="226"/>
      <c r="G19" s="137" t="s">
        <v>151</v>
      </c>
      <c r="H19" s="71">
        <f>SUM(H15:H18)</f>
        <v>12.707362003871038</v>
      </c>
      <c r="I19" s="71">
        <f>SUM(I15:I18)</f>
        <v>19.418210705382105</v>
      </c>
      <c r="J19" s="127">
        <f>SUM(J15:J18)</f>
        <v>24.441683686151382</v>
      </c>
      <c r="K19" s="20" t="s">
        <v>23</v>
      </c>
      <c r="L19" s="212">
        <f>SUM(L15:L18)</f>
        <v>2.5414724007742082</v>
      </c>
      <c r="M19" s="212">
        <f>SUM(M15:M18)</f>
        <v>1.9418210705382104</v>
      </c>
      <c r="N19" s="72">
        <f>SUM(N15:N18)</f>
        <v>1.6294455790767588</v>
      </c>
      <c r="Q19" s="259">
        <f t="shared" si="0"/>
        <v>16</v>
      </c>
      <c r="R19" s="254">
        <v>3.46</v>
      </c>
      <c r="S19" s="254">
        <v>3.46</v>
      </c>
      <c r="T19" s="254">
        <v>3.8</v>
      </c>
    </row>
    <row r="20" spans="2:21" x14ac:dyDescent="0.2">
      <c r="B20" s="222"/>
      <c r="C20" s="222"/>
      <c r="D20" s="144"/>
      <c r="F20" s="227"/>
      <c r="G20" s="102"/>
      <c r="H20" s="107"/>
      <c r="I20" s="107"/>
      <c r="J20" s="201"/>
      <c r="Q20" s="259">
        <f t="shared" si="0"/>
        <v>17</v>
      </c>
      <c r="R20" s="254">
        <v>3.33</v>
      </c>
      <c r="S20" s="254"/>
      <c r="T20" s="254"/>
      <c r="U20" s="144"/>
    </row>
    <row r="21" spans="2:21" x14ac:dyDescent="0.2">
      <c r="B21" s="222"/>
      <c r="C21" s="222"/>
      <c r="F21" s="224"/>
      <c r="G21" s="205" t="s">
        <v>123</v>
      </c>
      <c r="H21" s="206">
        <f>H15/100</f>
        <v>9.0135717625058398E-2</v>
      </c>
      <c r="I21" s="206">
        <f>I15/100</f>
        <v>0.15275670095059998</v>
      </c>
      <c r="J21" s="207">
        <f>J15/100</f>
        <v>0.19850392706872375</v>
      </c>
      <c r="Q21" s="259">
        <f t="shared" si="0"/>
        <v>18</v>
      </c>
      <c r="S21" s="254">
        <v>3.94</v>
      </c>
      <c r="T21" s="254">
        <v>4.01</v>
      </c>
      <c r="U21" s="144"/>
    </row>
    <row r="22" spans="2:21" x14ac:dyDescent="0.2">
      <c r="F22" s="225"/>
      <c r="G22" s="204" t="s">
        <v>122</v>
      </c>
      <c r="H22" s="202">
        <f>H19/100</f>
        <v>0.12707362003871039</v>
      </c>
      <c r="I22" s="90">
        <f>I19/100</f>
        <v>0.19418210705382105</v>
      </c>
      <c r="J22" s="203">
        <f>J19/100</f>
        <v>0.24441683686151383</v>
      </c>
      <c r="Q22" s="259">
        <f t="shared" si="0"/>
        <v>19</v>
      </c>
      <c r="R22" s="254">
        <v>3.73</v>
      </c>
      <c r="S22" s="254">
        <v>3.4</v>
      </c>
      <c r="T22" s="254">
        <v>3.75</v>
      </c>
    </row>
    <row r="23" spans="2:21" x14ac:dyDescent="0.2">
      <c r="G23" s="171"/>
      <c r="H23" s="171"/>
      <c r="I23" s="7"/>
      <c r="J23" s="7"/>
      <c r="K23" s="7"/>
      <c r="Q23" s="259">
        <f t="shared" si="0"/>
        <v>20</v>
      </c>
      <c r="R23" s="254">
        <v>3.68</v>
      </c>
      <c r="S23" s="254">
        <v>3.5</v>
      </c>
      <c r="T23" s="254">
        <v>3.67</v>
      </c>
    </row>
    <row r="24" spans="2:21" ht="12.75" customHeight="1" x14ac:dyDescent="0.2">
      <c r="C24" s="281" t="s">
        <v>110</v>
      </c>
      <c r="D24" s="279"/>
      <c r="E24" s="280"/>
      <c r="F24" s="282" t="s">
        <v>109</v>
      </c>
      <c r="G24" s="265"/>
      <c r="H24" s="266"/>
      <c r="I24" s="7"/>
      <c r="J24" s="7"/>
      <c r="K24" s="7"/>
      <c r="Q24" s="259">
        <f t="shared" si="0"/>
        <v>21</v>
      </c>
      <c r="R24" s="254">
        <v>3.42</v>
      </c>
      <c r="S24" s="254">
        <v>3.42</v>
      </c>
      <c r="T24" s="254">
        <v>3.74</v>
      </c>
    </row>
    <row r="25" spans="2:21" ht="12.75" customHeight="1" x14ac:dyDescent="0.2">
      <c r="B25" s="283" t="s">
        <v>95</v>
      </c>
      <c r="C25" s="262" t="s">
        <v>167</v>
      </c>
      <c r="D25" s="291"/>
      <c r="E25" s="292"/>
      <c r="F25" s="272" t="s">
        <v>168</v>
      </c>
      <c r="G25" s="273"/>
      <c r="H25" s="274"/>
      <c r="I25" s="7"/>
      <c r="J25" s="7"/>
      <c r="K25" s="7"/>
      <c r="Q25" s="259">
        <f t="shared" si="0"/>
        <v>22</v>
      </c>
      <c r="R25" s="254">
        <v>3.91</v>
      </c>
    </row>
    <row r="26" spans="2:21" x14ac:dyDescent="0.2">
      <c r="B26" s="284"/>
      <c r="C26" s="264"/>
      <c r="D26" s="293"/>
      <c r="E26" s="294"/>
      <c r="F26" s="275"/>
      <c r="G26" s="276"/>
      <c r="H26" s="277"/>
      <c r="I26" s="7"/>
      <c r="J26" s="7"/>
      <c r="K26" s="7"/>
      <c r="Q26" s="259">
        <f t="shared" si="0"/>
        <v>23</v>
      </c>
      <c r="R26" s="254"/>
      <c r="S26" s="254">
        <v>3.85</v>
      </c>
      <c r="T26" s="254">
        <v>3.97</v>
      </c>
    </row>
    <row r="27" spans="2:21" x14ac:dyDescent="0.2">
      <c r="B27" s="285"/>
      <c r="C27" s="78">
        <v>5</v>
      </c>
      <c r="D27" s="78">
        <v>10</v>
      </c>
      <c r="E27" s="78">
        <v>15</v>
      </c>
      <c r="F27" s="78">
        <v>5</v>
      </c>
      <c r="G27" s="78">
        <v>10</v>
      </c>
      <c r="H27" s="78">
        <v>15</v>
      </c>
      <c r="I27" s="7"/>
      <c r="J27" s="7"/>
      <c r="K27" s="7"/>
      <c r="Q27" s="253">
        <f t="shared" si="0"/>
        <v>24</v>
      </c>
      <c r="R27" s="91"/>
      <c r="S27" s="258">
        <v>3.79</v>
      </c>
      <c r="T27" s="258">
        <v>3.93</v>
      </c>
    </row>
    <row r="28" spans="2:21" x14ac:dyDescent="0.2">
      <c r="B28" s="133">
        <v>100</v>
      </c>
      <c r="C28" s="187">
        <f>$B28*H$21</f>
        <v>9.0135717625058405</v>
      </c>
      <c r="D28" s="187">
        <f t="shared" ref="C28:E32" si="2">$B28*I$21</f>
        <v>15.275670095059999</v>
      </c>
      <c r="E28" s="187">
        <f t="shared" si="2"/>
        <v>19.850392706872373</v>
      </c>
      <c r="F28" s="187">
        <f t="shared" ref="F28:H32" si="3">$B28*H$22</f>
        <v>12.70736200387104</v>
      </c>
      <c r="G28" s="187">
        <f t="shared" si="3"/>
        <v>19.418210705382105</v>
      </c>
      <c r="H28" s="187">
        <f t="shared" si="3"/>
        <v>24.441683686151382</v>
      </c>
      <c r="I28" s="7"/>
      <c r="J28" s="7"/>
      <c r="K28" s="7"/>
      <c r="Q28" s="230" t="s">
        <v>201</v>
      </c>
      <c r="R28" s="255">
        <f>AVERAGE(R4:R27)</f>
        <v>3.6134999999999997</v>
      </c>
      <c r="S28" s="255">
        <f>AVERAGE(S4:S27)</f>
        <v>3.5845454545454545</v>
      </c>
      <c r="T28" s="255">
        <f>AVERAGE(T4:T27)</f>
        <v>3.8504761904761913</v>
      </c>
    </row>
    <row r="29" spans="2:21" x14ac:dyDescent="0.2">
      <c r="B29" s="134">
        <v>125</v>
      </c>
      <c r="C29" s="188">
        <f t="shared" ref="C29:C30" si="4">$B29*H$21</f>
        <v>11.266964703132301</v>
      </c>
      <c r="D29" s="188">
        <f t="shared" ref="D29:D30" si="5">$B29*I$21</f>
        <v>19.094587618824999</v>
      </c>
      <c r="E29" s="188">
        <f t="shared" ref="E29:E30" si="6">$B29*J$21</f>
        <v>24.812990883590469</v>
      </c>
      <c r="F29" s="188">
        <f t="shared" ref="F29:F30" si="7">$B29*H$22</f>
        <v>15.884202504838798</v>
      </c>
      <c r="G29" s="188">
        <f t="shared" ref="G29:G30" si="8">$B29*I$22</f>
        <v>24.272763381727632</v>
      </c>
      <c r="H29" s="188">
        <f t="shared" ref="H29:H30" si="9">$B29*J$22</f>
        <v>30.55210460768923</v>
      </c>
      <c r="I29" s="7"/>
      <c r="J29" s="7"/>
      <c r="K29" s="7"/>
      <c r="Q29" s="64" t="s">
        <v>203</v>
      </c>
    </row>
    <row r="30" spans="2:21" x14ac:dyDescent="0.2">
      <c r="B30" s="133">
        <v>150</v>
      </c>
      <c r="C30" s="187">
        <f t="shared" si="4"/>
        <v>13.520357643758759</v>
      </c>
      <c r="D30" s="187">
        <f t="shared" si="5"/>
        <v>22.913505142589997</v>
      </c>
      <c r="E30" s="187">
        <f t="shared" si="6"/>
        <v>29.775589060308562</v>
      </c>
      <c r="F30" s="187">
        <f t="shared" si="7"/>
        <v>19.06104300580656</v>
      </c>
      <c r="G30" s="187">
        <f t="shared" si="8"/>
        <v>29.127316058073159</v>
      </c>
      <c r="H30" s="187">
        <f t="shared" si="9"/>
        <v>36.662525529227075</v>
      </c>
      <c r="I30" s="7"/>
      <c r="J30" s="7"/>
      <c r="K30" s="7"/>
    </row>
    <row r="31" spans="2:21" x14ac:dyDescent="0.2">
      <c r="B31" s="134">
        <v>175</v>
      </c>
      <c r="C31" s="188">
        <f t="shared" ref="C31" si="10">$B31*H$21</f>
        <v>15.773750584385219</v>
      </c>
      <c r="D31" s="188">
        <f t="shared" ref="D31" si="11">$B31*I$21</f>
        <v>26.732422666354996</v>
      </c>
      <c r="E31" s="188">
        <f t="shared" ref="E31" si="12">$B31*J$21</f>
        <v>34.738187237026658</v>
      </c>
      <c r="F31" s="188">
        <f t="shared" ref="F31" si="13">$B31*H$22</f>
        <v>22.23788350677432</v>
      </c>
      <c r="G31" s="188">
        <f t="shared" ref="G31" si="14">$B31*I$22</f>
        <v>33.981868734418683</v>
      </c>
      <c r="H31" s="188">
        <f t="shared" ref="H31" si="15">$B31*J$22</f>
        <v>42.77294645076492</v>
      </c>
      <c r="I31" s="7"/>
      <c r="J31" s="7"/>
      <c r="K31" s="7"/>
    </row>
    <row r="32" spans="2:21" x14ac:dyDescent="0.2">
      <c r="B32" s="133">
        <v>200</v>
      </c>
      <c r="C32" s="187">
        <f t="shared" si="2"/>
        <v>18.027143525011681</v>
      </c>
      <c r="D32" s="187">
        <f t="shared" si="2"/>
        <v>30.551340190119998</v>
      </c>
      <c r="E32" s="187">
        <f t="shared" si="2"/>
        <v>39.700785413744747</v>
      </c>
      <c r="F32" s="187">
        <f t="shared" si="3"/>
        <v>25.41472400774208</v>
      </c>
      <c r="G32" s="187">
        <f t="shared" si="3"/>
        <v>38.83642141076421</v>
      </c>
      <c r="H32" s="187">
        <f t="shared" si="3"/>
        <v>48.883367372302764</v>
      </c>
      <c r="I32" s="7"/>
      <c r="J32" s="7"/>
      <c r="K32" s="7"/>
    </row>
    <row r="33" spans="2:22" x14ac:dyDescent="0.2">
      <c r="G33" s="171"/>
      <c r="H33" s="171"/>
      <c r="I33" s="7"/>
      <c r="J33" s="7"/>
      <c r="K33" s="7"/>
    </row>
    <row r="34" spans="2:22" x14ac:dyDescent="0.2">
      <c r="B34" s="94"/>
      <c r="C34" s="93"/>
      <c r="D34" s="198" t="s">
        <v>155</v>
      </c>
      <c r="E34" s="199">
        <v>0.02</v>
      </c>
      <c r="F34" s="200"/>
      <c r="G34" s="265"/>
      <c r="H34" s="265"/>
      <c r="I34" s="265"/>
      <c r="J34" s="266"/>
      <c r="K34" s="170"/>
      <c r="P34" t="s">
        <v>198</v>
      </c>
    </row>
    <row r="35" spans="2:22" ht="12.75" customHeight="1" x14ac:dyDescent="0.2">
      <c r="B35" s="261" t="s">
        <v>95</v>
      </c>
      <c r="C35" s="261" t="s">
        <v>96</v>
      </c>
      <c r="D35" s="262" t="s">
        <v>152</v>
      </c>
      <c r="E35" s="262" t="s">
        <v>154</v>
      </c>
      <c r="F35" s="267"/>
      <c r="G35" s="268"/>
      <c r="H35" s="272" t="s">
        <v>153</v>
      </c>
      <c r="I35" s="273"/>
      <c r="J35" s="274"/>
      <c r="K35" s="184"/>
    </row>
    <row r="36" spans="2:22" x14ac:dyDescent="0.2">
      <c r="B36" s="261"/>
      <c r="C36" s="261"/>
      <c r="D36" s="263"/>
      <c r="E36" s="269"/>
      <c r="F36" s="270"/>
      <c r="G36" s="271"/>
      <c r="H36" s="275"/>
      <c r="I36" s="276"/>
      <c r="J36" s="277"/>
      <c r="K36" s="185"/>
      <c r="L36" s="170"/>
      <c r="P36" s="230" t="s">
        <v>178</v>
      </c>
      <c r="Q36" s="296" t="s">
        <v>180</v>
      </c>
      <c r="R36" s="297"/>
      <c r="S36" s="297"/>
      <c r="T36" s="297"/>
      <c r="U36" s="297"/>
      <c r="V36" s="297"/>
    </row>
    <row r="37" spans="2:22" x14ac:dyDescent="0.2">
      <c r="B37" s="261"/>
      <c r="C37" s="261"/>
      <c r="D37" s="264"/>
      <c r="E37" s="78">
        <v>5</v>
      </c>
      <c r="F37" s="78">
        <v>10</v>
      </c>
      <c r="G37" s="78">
        <v>15</v>
      </c>
      <c r="H37" s="78">
        <v>5</v>
      </c>
      <c r="I37" s="78">
        <v>10</v>
      </c>
      <c r="J37" s="189">
        <v>15</v>
      </c>
      <c r="K37" s="169"/>
      <c r="L37" s="131"/>
      <c r="P37" s="23" t="s">
        <v>179</v>
      </c>
      <c r="Q37" s="236" t="s">
        <v>181</v>
      </c>
      <c r="R37" s="66" t="s">
        <v>9</v>
      </c>
      <c r="S37" s="236" t="s">
        <v>182</v>
      </c>
      <c r="T37" s="66" t="s">
        <v>10</v>
      </c>
      <c r="U37" s="236" t="s">
        <v>183</v>
      </c>
      <c r="V37" s="66" t="s">
        <v>150</v>
      </c>
    </row>
    <row r="38" spans="2:22" x14ac:dyDescent="0.2">
      <c r="B38" s="256">
        <f>B28</f>
        <v>100</v>
      </c>
      <c r="C38" s="129">
        <f>B38*E$34</f>
        <v>2</v>
      </c>
      <c r="D38" s="190">
        <f>C38*D$13</f>
        <v>7.2</v>
      </c>
      <c r="E38" s="187">
        <f t="shared" ref="E38:J42" si="16">$D38-C28</f>
        <v>-1.8135717625058403</v>
      </c>
      <c r="F38" s="187">
        <f t="shared" si="16"/>
        <v>-8.0756700950599978</v>
      </c>
      <c r="G38" s="187">
        <f t="shared" si="16"/>
        <v>-12.650392706872374</v>
      </c>
      <c r="H38" s="187">
        <f t="shared" si="16"/>
        <v>-5.50736200387104</v>
      </c>
      <c r="I38" s="187">
        <f t="shared" si="16"/>
        <v>-12.218210705382106</v>
      </c>
      <c r="J38" s="187">
        <f t="shared" si="16"/>
        <v>-17.241683686151383</v>
      </c>
      <c r="K38" s="186"/>
      <c r="L38" s="130"/>
      <c r="M38" s="89"/>
      <c r="N38" s="89"/>
      <c r="P38" s="99">
        <f>B28</f>
        <v>100</v>
      </c>
      <c r="Q38" s="255">
        <f>P38*E$34*$D$13</f>
        <v>7.2</v>
      </c>
      <c r="R38" s="255">
        <f>C28</f>
        <v>9.0135717625058405</v>
      </c>
      <c r="S38" s="260">
        <f>D48</f>
        <v>18</v>
      </c>
      <c r="T38" s="260">
        <f>D28</f>
        <v>15.275670095059999</v>
      </c>
      <c r="U38" s="260">
        <f>D58</f>
        <v>28.8</v>
      </c>
      <c r="V38" s="260">
        <f>E28</f>
        <v>19.850392706872373</v>
      </c>
    </row>
    <row r="39" spans="2:22" x14ac:dyDescent="0.2">
      <c r="B39" s="257">
        <f>B29</f>
        <v>125</v>
      </c>
      <c r="C39" s="135">
        <f>B39*E$34</f>
        <v>2.5</v>
      </c>
      <c r="D39" s="191">
        <f>C39*D$13</f>
        <v>9</v>
      </c>
      <c r="E39" s="188">
        <f t="shared" si="16"/>
        <v>-2.2669647031323006</v>
      </c>
      <c r="F39" s="188">
        <f t="shared" si="16"/>
        <v>-10.094587618824999</v>
      </c>
      <c r="G39" s="188">
        <f t="shared" si="16"/>
        <v>-15.812990883590469</v>
      </c>
      <c r="H39" s="188">
        <f t="shared" si="16"/>
        <v>-6.8842025048387985</v>
      </c>
      <c r="I39" s="188">
        <f t="shared" si="16"/>
        <v>-15.272763381727632</v>
      </c>
      <c r="J39" s="188">
        <f t="shared" si="16"/>
        <v>-21.55210460768923</v>
      </c>
      <c r="K39" s="186"/>
      <c r="L39" s="130"/>
      <c r="M39" s="89"/>
      <c r="N39" s="89"/>
      <c r="P39" s="99">
        <f t="shared" ref="P39:P42" si="17">B29</f>
        <v>125</v>
      </c>
      <c r="Q39" s="255">
        <f>P39*E$34*$D$13</f>
        <v>9</v>
      </c>
      <c r="R39" s="255">
        <f>C29</f>
        <v>11.266964703132301</v>
      </c>
      <c r="S39" s="260">
        <f>D49</f>
        <v>22.5</v>
      </c>
      <c r="T39" s="260">
        <f>D29</f>
        <v>19.094587618824999</v>
      </c>
      <c r="U39" s="260">
        <f>D59</f>
        <v>36</v>
      </c>
      <c r="V39" s="260">
        <f>E29</f>
        <v>24.812990883590469</v>
      </c>
    </row>
    <row r="40" spans="2:22" x14ac:dyDescent="0.2">
      <c r="B40" s="256">
        <f>B30</f>
        <v>150</v>
      </c>
      <c r="C40" s="129">
        <f>B40*E$34</f>
        <v>3</v>
      </c>
      <c r="D40" s="190">
        <f>C40*D$13</f>
        <v>10.8</v>
      </c>
      <c r="E40" s="187">
        <f t="shared" si="16"/>
        <v>-2.7203576437587582</v>
      </c>
      <c r="F40" s="187">
        <f t="shared" si="16"/>
        <v>-12.113505142589997</v>
      </c>
      <c r="G40" s="187">
        <f t="shared" si="16"/>
        <v>-18.975589060308561</v>
      </c>
      <c r="H40" s="187">
        <f t="shared" si="16"/>
        <v>-8.2610430058065596</v>
      </c>
      <c r="I40" s="187">
        <f t="shared" si="16"/>
        <v>-18.327316058073158</v>
      </c>
      <c r="J40" s="187">
        <f t="shared" si="16"/>
        <v>-25.862525529227074</v>
      </c>
      <c r="K40" s="186"/>
      <c r="L40" s="130"/>
      <c r="M40" s="89"/>
      <c r="N40" s="89"/>
      <c r="P40" s="99">
        <f t="shared" si="17"/>
        <v>150</v>
      </c>
      <c r="Q40" s="255">
        <f>P40*E$34*$D$13</f>
        <v>10.8</v>
      </c>
      <c r="R40" s="255">
        <f>C30</f>
        <v>13.520357643758759</v>
      </c>
      <c r="S40" s="260">
        <f>D50</f>
        <v>27</v>
      </c>
      <c r="T40" s="260">
        <f>D30</f>
        <v>22.913505142589997</v>
      </c>
      <c r="U40" s="260">
        <f>D60</f>
        <v>43.2</v>
      </c>
      <c r="V40" s="260">
        <f>E30</f>
        <v>29.775589060308562</v>
      </c>
    </row>
    <row r="41" spans="2:22" x14ac:dyDescent="0.2">
      <c r="B41" s="257">
        <f>B31</f>
        <v>175</v>
      </c>
      <c r="C41" s="135">
        <f>B41*E$34</f>
        <v>3.5</v>
      </c>
      <c r="D41" s="191">
        <f>C41*D$13</f>
        <v>12.6</v>
      </c>
      <c r="E41" s="188">
        <f t="shared" si="16"/>
        <v>-3.1737505843852194</v>
      </c>
      <c r="F41" s="188">
        <f t="shared" si="16"/>
        <v>-14.132422666354996</v>
      </c>
      <c r="G41" s="188">
        <f t="shared" si="16"/>
        <v>-22.138187237026656</v>
      </c>
      <c r="H41" s="188">
        <f t="shared" si="16"/>
        <v>-9.6378835067743207</v>
      </c>
      <c r="I41" s="188">
        <f t="shared" si="16"/>
        <v>-21.381868734418681</v>
      </c>
      <c r="J41" s="188">
        <f t="shared" si="16"/>
        <v>-30.172946450764918</v>
      </c>
      <c r="K41" s="186"/>
      <c r="L41" s="130"/>
      <c r="M41" s="89"/>
      <c r="N41" s="89"/>
      <c r="P41" s="99">
        <f t="shared" si="17"/>
        <v>175</v>
      </c>
      <c r="Q41" s="255">
        <f>P41*E$34*$D$13</f>
        <v>12.6</v>
      </c>
      <c r="R41" s="255">
        <f>C31</f>
        <v>15.773750584385219</v>
      </c>
      <c r="S41" s="260">
        <f>D51</f>
        <v>31.5</v>
      </c>
      <c r="T41" s="260">
        <f>D31</f>
        <v>26.732422666354996</v>
      </c>
      <c r="U41" s="260">
        <f>D61</f>
        <v>50.4</v>
      </c>
      <c r="V41" s="260">
        <f>E31</f>
        <v>34.738187237026658</v>
      </c>
    </row>
    <row r="42" spans="2:22" x14ac:dyDescent="0.2">
      <c r="B42" s="256">
        <f>B32</f>
        <v>200</v>
      </c>
      <c r="C42" s="129">
        <f>B42*E$34</f>
        <v>4</v>
      </c>
      <c r="D42" s="190">
        <f>C42*D$13</f>
        <v>14.4</v>
      </c>
      <c r="E42" s="187">
        <f t="shared" si="16"/>
        <v>-3.6271435250116806</v>
      </c>
      <c r="F42" s="187">
        <f t="shared" si="16"/>
        <v>-16.151340190119996</v>
      </c>
      <c r="G42" s="187">
        <f t="shared" si="16"/>
        <v>-25.300785413744748</v>
      </c>
      <c r="H42" s="187">
        <f t="shared" si="16"/>
        <v>-11.01472400774208</v>
      </c>
      <c r="I42" s="187">
        <f t="shared" si="16"/>
        <v>-24.436421410764211</v>
      </c>
      <c r="J42" s="187">
        <f t="shared" si="16"/>
        <v>-34.483367372302766</v>
      </c>
      <c r="K42" s="186"/>
      <c r="L42" s="130"/>
      <c r="M42" s="89"/>
      <c r="N42" s="89"/>
      <c r="P42" s="99">
        <f t="shared" si="17"/>
        <v>200</v>
      </c>
      <c r="Q42" s="255">
        <f>P42*E$34*$D$13</f>
        <v>14.4</v>
      </c>
      <c r="R42" s="255">
        <f>C32</f>
        <v>18.027143525011681</v>
      </c>
      <c r="S42" s="260">
        <f>D52</f>
        <v>36</v>
      </c>
      <c r="T42" s="260">
        <f>D32</f>
        <v>30.551340190119998</v>
      </c>
      <c r="U42" s="260">
        <f>D62</f>
        <v>57.6</v>
      </c>
      <c r="V42" s="260">
        <f>E32</f>
        <v>39.700785413744747</v>
      </c>
    </row>
    <row r="43" spans="2:22" x14ac:dyDescent="0.2">
      <c r="B43" s="93"/>
      <c r="C43" s="93"/>
      <c r="D43" s="92"/>
      <c r="E43" s="92"/>
      <c r="F43" s="92"/>
      <c r="G43" s="92"/>
      <c r="H43" s="92"/>
      <c r="I43" s="92"/>
      <c r="J43" s="92"/>
      <c r="K43" s="144"/>
    </row>
    <row r="44" spans="2:22" x14ac:dyDescent="0.2">
      <c r="B44" s="94"/>
      <c r="C44" s="3"/>
      <c r="D44" s="192" t="s">
        <v>156</v>
      </c>
      <c r="E44" s="6">
        <v>0.05</v>
      </c>
      <c r="F44" s="77"/>
      <c r="G44" s="265"/>
      <c r="H44" s="265"/>
      <c r="I44" s="265"/>
      <c r="J44" s="266"/>
      <c r="K44" s="144"/>
    </row>
    <row r="45" spans="2:22" x14ac:dyDescent="0.2">
      <c r="B45" s="261" t="s">
        <v>95</v>
      </c>
      <c r="C45" s="261" t="s">
        <v>96</v>
      </c>
      <c r="D45" s="262" t="s">
        <v>152</v>
      </c>
      <c r="E45" s="262" t="s">
        <v>154</v>
      </c>
      <c r="F45" s="267"/>
      <c r="G45" s="268"/>
      <c r="H45" s="272" t="s">
        <v>153</v>
      </c>
      <c r="I45" s="273"/>
      <c r="J45" s="274"/>
      <c r="K45" s="144"/>
    </row>
    <row r="46" spans="2:22" x14ac:dyDescent="0.2">
      <c r="B46" s="261"/>
      <c r="C46" s="261"/>
      <c r="D46" s="263"/>
      <c r="E46" s="269"/>
      <c r="F46" s="270"/>
      <c r="G46" s="271"/>
      <c r="H46" s="275"/>
      <c r="I46" s="276"/>
      <c r="J46" s="277"/>
      <c r="K46" s="144"/>
    </row>
    <row r="47" spans="2:22" x14ac:dyDescent="0.2">
      <c r="B47" s="261"/>
      <c r="C47" s="261"/>
      <c r="D47" s="264"/>
      <c r="E47" s="78">
        <v>5</v>
      </c>
      <c r="F47" s="78">
        <v>10</v>
      </c>
      <c r="G47" s="78">
        <v>15</v>
      </c>
      <c r="H47" s="78">
        <v>5</v>
      </c>
      <c r="I47" s="78">
        <v>10</v>
      </c>
      <c r="J47" s="189">
        <v>15</v>
      </c>
      <c r="K47" s="144"/>
    </row>
    <row r="48" spans="2:22" x14ac:dyDescent="0.2">
      <c r="B48" s="256">
        <f>B38</f>
        <v>100</v>
      </c>
      <c r="C48" s="129">
        <f>B48*E$44</f>
        <v>5</v>
      </c>
      <c r="D48" s="190">
        <f>C48*D$13</f>
        <v>18</v>
      </c>
      <c r="E48" s="187">
        <f t="shared" ref="E48:J52" si="18">$D48-C28</f>
        <v>8.9864282374941595</v>
      </c>
      <c r="F48" s="187">
        <f t="shared" si="18"/>
        <v>2.7243299049400012</v>
      </c>
      <c r="G48" s="187">
        <f t="shared" si="18"/>
        <v>-1.8503927068723733</v>
      </c>
      <c r="H48" s="187">
        <f t="shared" si="18"/>
        <v>5.2926379961289598</v>
      </c>
      <c r="I48" s="187">
        <f t="shared" si="18"/>
        <v>-1.4182107053821049</v>
      </c>
      <c r="J48" s="187">
        <f t="shared" si="18"/>
        <v>-6.4416836861513822</v>
      </c>
      <c r="K48" s="144"/>
    </row>
    <row r="49" spans="2:11" x14ac:dyDescent="0.2">
      <c r="B49" s="257">
        <f>B39</f>
        <v>125</v>
      </c>
      <c r="C49" s="135">
        <f>B49*E$44</f>
        <v>6.25</v>
      </c>
      <c r="D49" s="191">
        <f>C49*D$13</f>
        <v>22.5</v>
      </c>
      <c r="E49" s="188">
        <f t="shared" si="18"/>
        <v>11.233035296867699</v>
      </c>
      <c r="F49" s="188">
        <f t="shared" si="18"/>
        <v>3.405412381175001</v>
      </c>
      <c r="G49" s="188">
        <f t="shared" si="18"/>
        <v>-2.3129908835904693</v>
      </c>
      <c r="H49" s="188">
        <f t="shared" si="18"/>
        <v>6.6157974951612015</v>
      </c>
      <c r="I49" s="188">
        <f t="shared" si="18"/>
        <v>-1.772763381727632</v>
      </c>
      <c r="J49" s="188">
        <f t="shared" si="18"/>
        <v>-8.0521046076892304</v>
      </c>
      <c r="K49" s="144"/>
    </row>
    <row r="50" spans="2:11" x14ac:dyDescent="0.2">
      <c r="B50" s="256">
        <f>B40</f>
        <v>150</v>
      </c>
      <c r="C50" s="129">
        <f>B50*E$44</f>
        <v>7.5</v>
      </c>
      <c r="D50" s="190">
        <f>C50*D$13</f>
        <v>27</v>
      </c>
      <c r="E50" s="187">
        <f t="shared" si="18"/>
        <v>13.479642356241241</v>
      </c>
      <c r="F50" s="187">
        <f t="shared" si="18"/>
        <v>4.0864948574100026</v>
      </c>
      <c r="G50" s="187">
        <f t="shared" si="18"/>
        <v>-2.7755890603085618</v>
      </c>
      <c r="H50" s="187">
        <f t="shared" si="18"/>
        <v>7.9389569941934397</v>
      </c>
      <c r="I50" s="187">
        <f t="shared" si="18"/>
        <v>-2.1273160580731592</v>
      </c>
      <c r="J50" s="187">
        <f t="shared" si="18"/>
        <v>-9.6625255292270751</v>
      </c>
      <c r="K50" s="144"/>
    </row>
    <row r="51" spans="2:11" x14ac:dyDescent="0.2">
      <c r="B51" s="257">
        <f>B41</f>
        <v>175</v>
      </c>
      <c r="C51" s="135">
        <f>B51*E$44</f>
        <v>8.75</v>
      </c>
      <c r="D51" s="191">
        <f>C51*D$13</f>
        <v>31.5</v>
      </c>
      <c r="E51" s="188">
        <f t="shared" si="18"/>
        <v>15.726249415614781</v>
      </c>
      <c r="F51" s="188">
        <f t="shared" si="18"/>
        <v>4.7675773336450042</v>
      </c>
      <c r="G51" s="188">
        <f t="shared" si="18"/>
        <v>-3.2381872370266578</v>
      </c>
      <c r="H51" s="188">
        <f t="shared" si="18"/>
        <v>9.2621164932256796</v>
      </c>
      <c r="I51" s="188">
        <f t="shared" si="18"/>
        <v>-2.4818687344186827</v>
      </c>
      <c r="J51" s="188">
        <f t="shared" si="18"/>
        <v>-11.27294645076492</v>
      </c>
      <c r="K51" s="144"/>
    </row>
    <row r="52" spans="2:11" x14ac:dyDescent="0.2">
      <c r="B52" s="256">
        <f>B42</f>
        <v>200</v>
      </c>
      <c r="C52" s="129">
        <f>B52*E44</f>
        <v>10</v>
      </c>
      <c r="D52" s="190">
        <f>C52*D$13</f>
        <v>36</v>
      </c>
      <c r="E52" s="187">
        <f t="shared" si="18"/>
        <v>17.972856474988319</v>
      </c>
      <c r="F52" s="187">
        <f t="shared" si="18"/>
        <v>5.4486598098800023</v>
      </c>
      <c r="G52" s="187">
        <f t="shared" si="18"/>
        <v>-3.7007854137447467</v>
      </c>
      <c r="H52" s="187">
        <f t="shared" si="18"/>
        <v>10.58527599225792</v>
      </c>
      <c r="I52" s="187">
        <f t="shared" si="18"/>
        <v>-2.8364214107642098</v>
      </c>
      <c r="J52" s="187">
        <f t="shared" si="18"/>
        <v>-12.883367372302764</v>
      </c>
      <c r="K52" s="144"/>
    </row>
    <row r="53" spans="2:11" x14ac:dyDescent="0.2">
      <c r="B53" s="196"/>
      <c r="C53" s="193"/>
      <c r="D53" s="194"/>
      <c r="E53" s="195"/>
      <c r="F53" s="195"/>
      <c r="G53" s="195"/>
      <c r="H53" s="195"/>
      <c r="I53" s="195"/>
      <c r="J53" s="195"/>
      <c r="K53" s="144"/>
    </row>
    <row r="54" spans="2:11" x14ac:dyDescent="0.2">
      <c r="B54" s="94"/>
      <c r="C54" s="93"/>
      <c r="D54" s="198" t="s">
        <v>157</v>
      </c>
      <c r="E54" s="199">
        <v>0.08</v>
      </c>
      <c r="F54" s="200"/>
      <c r="G54" s="265"/>
      <c r="H54" s="265"/>
      <c r="I54" s="265"/>
      <c r="J54" s="266"/>
      <c r="K54" s="144"/>
    </row>
    <row r="55" spans="2:11" x14ac:dyDescent="0.2">
      <c r="B55" s="261" t="s">
        <v>95</v>
      </c>
      <c r="C55" s="261" t="s">
        <v>96</v>
      </c>
      <c r="D55" s="262" t="s">
        <v>152</v>
      </c>
      <c r="E55" s="262" t="s">
        <v>154</v>
      </c>
      <c r="F55" s="267"/>
      <c r="G55" s="268"/>
      <c r="H55" s="272" t="s">
        <v>153</v>
      </c>
      <c r="I55" s="273"/>
      <c r="J55" s="274"/>
      <c r="K55" s="144"/>
    </row>
    <row r="56" spans="2:11" x14ac:dyDescent="0.2">
      <c r="B56" s="261"/>
      <c r="C56" s="261"/>
      <c r="D56" s="263"/>
      <c r="E56" s="269"/>
      <c r="F56" s="270"/>
      <c r="G56" s="271"/>
      <c r="H56" s="275"/>
      <c r="I56" s="276"/>
      <c r="J56" s="277"/>
      <c r="K56" s="144"/>
    </row>
    <row r="57" spans="2:11" x14ac:dyDescent="0.2">
      <c r="B57" s="261"/>
      <c r="C57" s="261"/>
      <c r="D57" s="264"/>
      <c r="E57" s="78">
        <v>5</v>
      </c>
      <c r="F57" s="78">
        <v>10</v>
      </c>
      <c r="G57" s="78">
        <v>15</v>
      </c>
      <c r="H57" s="78">
        <v>5</v>
      </c>
      <c r="I57" s="78">
        <v>10</v>
      </c>
      <c r="J57" s="189">
        <v>15</v>
      </c>
      <c r="K57" s="144"/>
    </row>
    <row r="58" spans="2:11" x14ac:dyDescent="0.2">
      <c r="B58" s="256">
        <f>B48</f>
        <v>100</v>
      </c>
      <c r="C58" s="129">
        <f>B58*E$54</f>
        <v>8</v>
      </c>
      <c r="D58" s="190">
        <f>C58*D$13</f>
        <v>28.8</v>
      </c>
      <c r="E58" s="187">
        <f t="shared" ref="E58:J62" si="19">$D58-C28</f>
        <v>19.78642823749416</v>
      </c>
      <c r="F58" s="187">
        <f t="shared" si="19"/>
        <v>13.524329904940002</v>
      </c>
      <c r="G58" s="187">
        <f t="shared" si="19"/>
        <v>8.9496072931276274</v>
      </c>
      <c r="H58" s="187">
        <f t="shared" si="19"/>
        <v>16.092637996128961</v>
      </c>
      <c r="I58" s="187">
        <f t="shared" si="19"/>
        <v>9.3817892946178958</v>
      </c>
      <c r="J58" s="187">
        <f t="shared" si="19"/>
        <v>4.3583163138486185</v>
      </c>
      <c r="K58" s="144"/>
    </row>
    <row r="59" spans="2:11" x14ac:dyDescent="0.2">
      <c r="B59" s="257">
        <f>B49</f>
        <v>125</v>
      </c>
      <c r="C59" s="135">
        <f>B59*E$54</f>
        <v>10</v>
      </c>
      <c r="D59" s="191">
        <f>C59*D$13</f>
        <v>36</v>
      </c>
      <c r="E59" s="188">
        <f t="shared" si="19"/>
        <v>24.733035296867698</v>
      </c>
      <c r="F59" s="188">
        <f t="shared" si="19"/>
        <v>16.905412381175001</v>
      </c>
      <c r="G59" s="188">
        <f t="shared" si="19"/>
        <v>11.187009116409531</v>
      </c>
      <c r="H59" s="188">
        <f t="shared" si="19"/>
        <v>20.115797495161203</v>
      </c>
      <c r="I59" s="188">
        <f t="shared" si="19"/>
        <v>11.727236618272368</v>
      </c>
      <c r="J59" s="188">
        <f t="shared" si="19"/>
        <v>5.4478953923107696</v>
      </c>
      <c r="K59" s="144"/>
    </row>
    <row r="60" spans="2:11" x14ac:dyDescent="0.2">
      <c r="B60" s="256">
        <f>B50</f>
        <v>150</v>
      </c>
      <c r="C60" s="129">
        <f>B60*E$54</f>
        <v>12</v>
      </c>
      <c r="D60" s="190">
        <f>C60*D$13</f>
        <v>43.2</v>
      </c>
      <c r="E60" s="187">
        <f t="shared" si="19"/>
        <v>29.679642356241246</v>
      </c>
      <c r="F60" s="187">
        <f t="shared" si="19"/>
        <v>20.286494857410005</v>
      </c>
      <c r="G60" s="187">
        <f t="shared" si="19"/>
        <v>13.424410939691441</v>
      </c>
      <c r="H60" s="187">
        <f t="shared" si="19"/>
        <v>24.138956994193443</v>
      </c>
      <c r="I60" s="187">
        <f t="shared" si="19"/>
        <v>14.072683941926844</v>
      </c>
      <c r="J60" s="187">
        <f t="shared" si="19"/>
        <v>6.5374744707729278</v>
      </c>
      <c r="K60" s="144"/>
    </row>
    <row r="61" spans="2:11" x14ac:dyDescent="0.2">
      <c r="B61" s="257">
        <f>B51</f>
        <v>175</v>
      </c>
      <c r="C61" s="135">
        <f>B61*E$54</f>
        <v>14</v>
      </c>
      <c r="D61" s="191">
        <f>C61*D$13</f>
        <v>50.4</v>
      </c>
      <c r="E61" s="188">
        <f t="shared" si="19"/>
        <v>34.62624941561478</v>
      </c>
      <c r="F61" s="188">
        <f t="shared" si="19"/>
        <v>23.667577333645003</v>
      </c>
      <c r="G61" s="188">
        <f t="shared" si="19"/>
        <v>15.661812762973341</v>
      </c>
      <c r="H61" s="188">
        <f t="shared" si="19"/>
        <v>28.162116493225678</v>
      </c>
      <c r="I61" s="188">
        <f t="shared" si="19"/>
        <v>16.418131265581316</v>
      </c>
      <c r="J61" s="188">
        <f t="shared" si="19"/>
        <v>7.6270535492350788</v>
      </c>
      <c r="K61" s="144"/>
    </row>
    <row r="62" spans="2:11" x14ac:dyDescent="0.2">
      <c r="B62" s="256">
        <f>B52</f>
        <v>200</v>
      </c>
      <c r="C62" s="129">
        <f>B62*E$54</f>
        <v>16</v>
      </c>
      <c r="D62" s="190">
        <f>C62*D$13</f>
        <v>57.6</v>
      </c>
      <c r="E62" s="187">
        <f t="shared" si="19"/>
        <v>39.57285647498832</v>
      </c>
      <c r="F62" s="187">
        <f t="shared" si="19"/>
        <v>27.048659809880004</v>
      </c>
      <c r="G62" s="187">
        <f t="shared" si="19"/>
        <v>17.899214586255255</v>
      </c>
      <c r="H62" s="187">
        <f t="shared" si="19"/>
        <v>32.185275992257921</v>
      </c>
      <c r="I62" s="187">
        <f t="shared" si="19"/>
        <v>18.763578589235792</v>
      </c>
      <c r="J62" s="187">
        <f t="shared" si="19"/>
        <v>8.716632627697237</v>
      </c>
      <c r="K62" s="144"/>
    </row>
    <row r="63" spans="2:11" x14ac:dyDescent="0.2">
      <c r="B63" s="196"/>
      <c r="C63" s="193"/>
      <c r="D63" s="194"/>
      <c r="E63" s="195"/>
      <c r="F63" s="195"/>
      <c r="G63" s="195"/>
      <c r="H63" s="195"/>
      <c r="I63" s="195"/>
      <c r="J63" s="195"/>
      <c r="K63" s="144"/>
    </row>
    <row r="64" spans="2:11" x14ac:dyDescent="0.2">
      <c r="B64" s="197" t="s">
        <v>166</v>
      </c>
      <c r="C64" s="1"/>
    </row>
    <row r="65" spans="2:7" x14ac:dyDescent="0.2">
      <c r="B65" s="3" t="s">
        <v>129</v>
      </c>
      <c r="C65" s="1"/>
    </row>
    <row r="66" spans="2:7" x14ac:dyDescent="0.2">
      <c r="B66" s="3"/>
      <c r="C66" s="1"/>
    </row>
    <row r="67" spans="2:7" x14ac:dyDescent="0.2">
      <c r="B67" s="1" t="s">
        <v>98</v>
      </c>
      <c r="C67" s="1"/>
      <c r="F67" t="s">
        <v>100</v>
      </c>
    </row>
    <row r="68" spans="2:7" x14ac:dyDescent="0.2">
      <c r="B68" s="1" t="s">
        <v>99</v>
      </c>
      <c r="G68" t="s">
        <v>103</v>
      </c>
    </row>
    <row r="69" spans="2:7" x14ac:dyDescent="0.2">
      <c r="B69" s="65" t="s">
        <v>204</v>
      </c>
      <c r="G69" t="s">
        <v>197</v>
      </c>
    </row>
    <row r="70" spans="2:7" x14ac:dyDescent="0.2">
      <c r="B70" s="1" t="s">
        <v>101</v>
      </c>
      <c r="G70" t="s">
        <v>105</v>
      </c>
    </row>
    <row r="71" spans="2:7" x14ac:dyDescent="0.2">
      <c r="B71" s="1" t="s">
        <v>102</v>
      </c>
      <c r="G71" t="s">
        <v>104</v>
      </c>
    </row>
    <row r="72" spans="2:7" x14ac:dyDescent="0.2">
      <c r="B72" s="1" t="s">
        <v>4</v>
      </c>
      <c r="G72" t="s">
        <v>106</v>
      </c>
    </row>
    <row r="73" spans="2:7" x14ac:dyDescent="0.2">
      <c r="B73" s="1" t="s">
        <v>5</v>
      </c>
      <c r="G73" t="s">
        <v>107</v>
      </c>
    </row>
    <row r="74" spans="2:7" x14ac:dyDescent="0.2">
      <c r="B74" s="1" t="s">
        <v>108</v>
      </c>
      <c r="G74" t="s">
        <v>128</v>
      </c>
    </row>
    <row r="76" spans="2:7" ht="12.75" customHeight="1" x14ac:dyDescent="0.2"/>
  </sheetData>
  <mergeCells count="31">
    <mergeCell ref="B45:B47"/>
    <mergeCell ref="C45:C47"/>
    <mergeCell ref="D45:D47"/>
    <mergeCell ref="L13:N13"/>
    <mergeCell ref="B35:B37"/>
    <mergeCell ref="C35:C37"/>
    <mergeCell ref="C25:E26"/>
    <mergeCell ref="R3:T3"/>
    <mergeCell ref="Q36:V36"/>
    <mergeCell ref="F25:H26"/>
    <mergeCell ref="H13:J13"/>
    <mergeCell ref="C24:E24"/>
    <mergeCell ref="F24:H24"/>
    <mergeCell ref="B25:B27"/>
    <mergeCell ref="B16:C18"/>
    <mergeCell ref="B55:B57"/>
    <mergeCell ref="C55:C57"/>
    <mergeCell ref="D55:D57"/>
    <mergeCell ref="I34:J34"/>
    <mergeCell ref="G34:H34"/>
    <mergeCell ref="E55:G56"/>
    <mergeCell ref="H55:J56"/>
    <mergeCell ref="D35:D37"/>
    <mergeCell ref="E35:G36"/>
    <mergeCell ref="H35:J36"/>
    <mergeCell ref="G44:H44"/>
    <mergeCell ref="I44:J44"/>
    <mergeCell ref="E45:G46"/>
    <mergeCell ref="H45:J46"/>
    <mergeCell ref="I54:J54"/>
    <mergeCell ref="G54:H54"/>
  </mergeCells>
  <phoneticPr fontId="0" type="noConversion"/>
  <pageMargins left="1.01" right="0.75" top="1.5" bottom="1.38" header="0.5" footer="0.75"/>
  <pageSetup orientation="portrait" horizontalDpi="300" verticalDpi="300" r:id="rId1"/>
  <headerFooter alignWithMargins="0">
    <oddHeader xml:space="preserve">&amp;L&amp;G
</oddHeader>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J13" sqref="J13"/>
    </sheetView>
  </sheetViews>
  <sheetFormatPr defaultRowHeight="12.75" x14ac:dyDescent="0.2"/>
  <cols>
    <col min="2" max="2" width="4.5703125" customWidth="1"/>
  </cols>
  <sheetData>
    <row r="1" spans="1:11" x14ac:dyDescent="0.2">
      <c r="A1" s="64" t="s">
        <v>158</v>
      </c>
    </row>
    <row r="2" spans="1:11" x14ac:dyDescent="0.2">
      <c r="A2" t="s">
        <v>136</v>
      </c>
    </row>
    <row r="4" spans="1:11" x14ac:dyDescent="0.2">
      <c r="A4" s="124"/>
      <c r="C4" s="175" t="s">
        <v>162</v>
      </c>
      <c r="D4" s="108">
        <v>15</v>
      </c>
      <c r="E4" s="4"/>
      <c r="F4" s="4" t="s">
        <v>112</v>
      </c>
      <c r="G4" s="126">
        <f>Main!D14</f>
        <v>1</v>
      </c>
      <c r="H4" s="95" t="s">
        <v>8</v>
      </c>
    </row>
    <row r="5" spans="1:11" x14ac:dyDescent="0.2">
      <c r="A5" s="124"/>
      <c r="C5" s="175" t="s">
        <v>111</v>
      </c>
      <c r="D5" s="211">
        <v>15</v>
      </c>
      <c r="E5" s="4"/>
      <c r="F5" s="63" t="s">
        <v>142</v>
      </c>
      <c r="G5" s="208">
        <v>0.93</v>
      </c>
      <c r="H5" s="144"/>
      <c r="I5" s="144"/>
    </row>
    <row r="6" spans="1:11" x14ac:dyDescent="0.2">
      <c r="A6" s="124"/>
      <c r="C6" s="4"/>
      <c r="D6" s="4"/>
      <c r="E6" s="4"/>
      <c r="F6" s="175" t="s">
        <v>146</v>
      </c>
      <c r="G6" s="209">
        <f>Main!D18</f>
        <v>1750</v>
      </c>
      <c r="H6" s="179" t="s">
        <v>147</v>
      </c>
      <c r="I6" s="177"/>
      <c r="J6" s="176"/>
      <c r="K6" s="144"/>
    </row>
    <row r="7" spans="1:11" x14ac:dyDescent="0.2">
      <c r="A7" s="124"/>
      <c r="C7" s="4"/>
      <c r="D7" s="4"/>
      <c r="E7" s="4"/>
      <c r="F7" s="175" t="s">
        <v>148</v>
      </c>
      <c r="G7" s="176">
        <f>G6-2248</f>
        <v>-498</v>
      </c>
      <c r="H7" s="179" t="s">
        <v>147</v>
      </c>
      <c r="I7" s="177"/>
      <c r="J7" s="176"/>
      <c r="K7" s="144"/>
    </row>
    <row r="8" spans="1:11" x14ac:dyDescent="0.2">
      <c r="A8" s="91"/>
      <c r="B8" s="91"/>
      <c r="C8" s="66"/>
      <c r="D8" s="66"/>
      <c r="E8" s="66"/>
      <c r="F8" s="96"/>
    </row>
    <row r="9" spans="1:11" x14ac:dyDescent="0.2">
      <c r="A9" s="97"/>
      <c r="C9" s="175"/>
      <c r="D9" s="64"/>
      <c r="E9" s="175" t="s">
        <v>143</v>
      </c>
      <c r="G9" s="172" t="s">
        <v>113</v>
      </c>
      <c r="H9" s="173"/>
      <c r="I9" s="172"/>
      <c r="J9" s="174" t="s">
        <v>45</v>
      </c>
      <c r="K9" s="97"/>
    </row>
    <row r="10" spans="1:11" x14ac:dyDescent="0.2">
      <c r="A10" s="23" t="s">
        <v>115</v>
      </c>
      <c r="B10" s="109" t="s">
        <v>125</v>
      </c>
      <c r="C10" s="67" t="s">
        <v>149</v>
      </c>
      <c r="D10" s="67" t="s">
        <v>145</v>
      </c>
      <c r="E10" s="67" t="s">
        <v>144</v>
      </c>
      <c r="F10" s="91" t="s">
        <v>116</v>
      </c>
      <c r="G10" s="98" t="s">
        <v>117</v>
      </c>
      <c r="H10" s="235" t="s">
        <v>118</v>
      </c>
      <c r="I10" s="98" t="s">
        <v>119</v>
      </c>
      <c r="J10" s="125" t="s">
        <v>114</v>
      </c>
      <c r="K10" s="23" t="s">
        <v>120</v>
      </c>
    </row>
    <row r="11" spans="1:11" x14ac:dyDescent="0.2">
      <c r="A11" s="99">
        <v>18</v>
      </c>
      <c r="B11" s="110">
        <f t="shared" ref="B11:B23" si="0">A11-D$4</f>
        <v>3</v>
      </c>
      <c r="C11" s="180">
        <f>E11*D11/1000</f>
        <v>4.9997208280975611</v>
      </c>
      <c r="D11" s="106">
        <f t="shared" ref="D11:D23" si="1">56*(1-D$4/100)*((A11/(100-A11)-D$5/(100-D$5)))</f>
        <v>2.0487804878048776</v>
      </c>
      <c r="E11" s="110">
        <f t="shared" ref="E11:E17" si="2">A11/100*(-135071*(A11/100)^2+124885*A11/100-44660)+7718.6+G$7</f>
        <v>2440.3399280000003</v>
      </c>
      <c r="F11" s="72">
        <f>C11/92/G$5</f>
        <v>5.8435259795436657E-2</v>
      </c>
      <c r="G11" s="100">
        <f t="shared" ref="G11:G23" si="3">F11/B11</f>
        <v>1.9478419931812218E-2</v>
      </c>
      <c r="H11" s="71">
        <f>1/F11</f>
        <v>17.112955491268174</v>
      </c>
      <c r="I11" s="71">
        <f t="shared" ref="I11:I23" si="4">H11/B11</f>
        <v>5.7043184970893916</v>
      </c>
      <c r="J11" s="126">
        <f>F11*G$4*100</f>
        <v>5.8435259795436654</v>
      </c>
      <c r="K11" s="127">
        <f t="shared" ref="K11:K23" si="5">J11/B11</f>
        <v>1.9478419931812219</v>
      </c>
    </row>
    <row r="12" spans="1:11" x14ac:dyDescent="0.2">
      <c r="A12" s="99">
        <f t="shared" ref="A12:A23" si="6">A11+1</f>
        <v>19</v>
      </c>
      <c r="B12" s="110">
        <f t="shared" si="0"/>
        <v>4</v>
      </c>
      <c r="C12" s="180">
        <f t="shared" ref="C12:C23" si="7">E12*D12/1000</f>
        <v>6.4077730674567892</v>
      </c>
      <c r="D12" s="106">
        <f t="shared" si="1"/>
        <v>2.7654320987654311</v>
      </c>
      <c r="E12" s="110">
        <f t="shared" si="2"/>
        <v>2317.0965110000006</v>
      </c>
      <c r="F12" s="72">
        <f t="shared" ref="F12:F22" si="8">C12/92/G$5</f>
        <v>7.4892158338672146E-2</v>
      </c>
      <c r="G12" s="100">
        <f t="shared" si="3"/>
        <v>1.8723039584668037E-2</v>
      </c>
      <c r="H12" s="71">
        <f t="shared" ref="H12:H23" si="9">1/F12</f>
        <v>13.352532790921435</v>
      </c>
      <c r="I12" s="71">
        <f t="shared" si="4"/>
        <v>3.3381331977303588</v>
      </c>
      <c r="J12" s="126">
        <f t="shared" ref="J12:J23" si="10">F12*G$4*100</f>
        <v>7.489215833867215</v>
      </c>
      <c r="K12" s="127">
        <f t="shared" si="5"/>
        <v>1.8723039584668038</v>
      </c>
    </row>
    <row r="13" spans="1:11" x14ac:dyDescent="0.2">
      <c r="A13" s="101">
        <f t="shared" si="6"/>
        <v>20</v>
      </c>
      <c r="B13" s="110">
        <f t="shared" si="0"/>
        <v>5</v>
      </c>
      <c r="C13" s="180">
        <f t="shared" si="7"/>
        <v>7.7120119999999979</v>
      </c>
      <c r="D13" s="106">
        <f t="shared" si="1"/>
        <v>3.4999999999999996</v>
      </c>
      <c r="E13" s="183">
        <f t="shared" si="2"/>
        <v>2203.4319999999998</v>
      </c>
      <c r="F13" s="72">
        <f t="shared" si="8"/>
        <v>9.0135717625058412E-2</v>
      </c>
      <c r="G13" s="100">
        <f t="shared" si="3"/>
        <v>1.8027143525011682E-2</v>
      </c>
      <c r="H13" s="71">
        <f t="shared" si="9"/>
        <v>11.094381077207871</v>
      </c>
      <c r="I13" s="71">
        <f t="shared" si="4"/>
        <v>2.2188762154415742</v>
      </c>
      <c r="J13" s="182">
        <f t="shared" si="10"/>
        <v>9.0135717625058405</v>
      </c>
      <c r="K13" s="127">
        <f t="shared" si="5"/>
        <v>1.8027143525011682</v>
      </c>
    </row>
    <row r="14" spans="1:11" x14ac:dyDescent="0.2">
      <c r="A14" s="99">
        <f t="shared" si="6"/>
        <v>21</v>
      </c>
      <c r="B14" s="110">
        <f t="shared" si="0"/>
        <v>6</v>
      </c>
      <c r="C14" s="180">
        <f t="shared" si="7"/>
        <v>8.9254188048607599</v>
      </c>
      <c r="D14" s="106">
        <f t="shared" si="1"/>
        <v>4.253164556962024</v>
      </c>
      <c r="E14" s="110">
        <f t="shared" si="2"/>
        <v>2098.5359690000005</v>
      </c>
      <c r="F14" s="72">
        <f t="shared" si="8"/>
        <v>0.10431765784082234</v>
      </c>
      <c r="G14" s="100">
        <f t="shared" si="3"/>
        <v>1.7386276306803724E-2</v>
      </c>
      <c r="H14" s="71">
        <f t="shared" si="9"/>
        <v>9.5861047947020985</v>
      </c>
      <c r="I14" s="71">
        <f t="shared" si="4"/>
        <v>1.5976841324503497</v>
      </c>
      <c r="J14" s="126">
        <f t="shared" si="10"/>
        <v>10.431765784082234</v>
      </c>
      <c r="K14" s="127">
        <f t="shared" si="5"/>
        <v>1.7386276306803723</v>
      </c>
    </row>
    <row r="15" spans="1:11" x14ac:dyDescent="0.2">
      <c r="A15" s="99">
        <f t="shared" si="6"/>
        <v>22</v>
      </c>
      <c r="B15" s="110">
        <f t="shared" si="0"/>
        <v>7</v>
      </c>
      <c r="C15" s="180">
        <f t="shared" si="7"/>
        <v>10.059312985435902</v>
      </c>
      <c r="D15" s="106">
        <f t="shared" si="1"/>
        <v>5.0256410256410255</v>
      </c>
      <c r="E15" s="110">
        <f t="shared" si="2"/>
        <v>2001.5979920000009</v>
      </c>
      <c r="F15" s="72">
        <f t="shared" si="8"/>
        <v>0.11757027799714705</v>
      </c>
      <c r="G15" s="100">
        <f t="shared" si="3"/>
        <v>1.6795753999592437E-2</v>
      </c>
      <c r="H15" s="71">
        <f t="shared" si="9"/>
        <v>8.5055510375187335</v>
      </c>
      <c r="I15" s="71">
        <f t="shared" si="4"/>
        <v>1.2150787196455333</v>
      </c>
      <c r="J15" s="126">
        <f t="shared" si="10"/>
        <v>11.757027799714704</v>
      </c>
      <c r="K15" s="127">
        <f t="shared" si="5"/>
        <v>1.6795753999592435</v>
      </c>
    </row>
    <row r="16" spans="1:11" x14ac:dyDescent="0.2">
      <c r="A16" s="99">
        <f t="shared" si="6"/>
        <v>23</v>
      </c>
      <c r="B16" s="110">
        <f t="shared" si="0"/>
        <v>8</v>
      </c>
      <c r="C16" s="180">
        <f t="shared" si="7"/>
        <v>11.123244468363636</v>
      </c>
      <c r="D16" s="106">
        <f t="shared" si="1"/>
        <v>5.8181818181818175</v>
      </c>
      <c r="E16" s="110">
        <f t="shared" si="2"/>
        <v>1911.8076430000001</v>
      </c>
      <c r="F16" s="72">
        <f t="shared" si="8"/>
        <v>0.13000519481490924</v>
      </c>
      <c r="G16" s="100">
        <f t="shared" si="3"/>
        <v>1.6250649351863655E-2</v>
      </c>
      <c r="H16" s="71">
        <f t="shared" si="9"/>
        <v>7.6920003190927728</v>
      </c>
      <c r="I16" s="71">
        <f t="shared" si="4"/>
        <v>0.9615000398865966</v>
      </c>
      <c r="J16" s="126">
        <f t="shared" si="10"/>
        <v>13.000519481490924</v>
      </c>
      <c r="K16" s="127">
        <f t="shared" si="5"/>
        <v>1.6250649351863655</v>
      </c>
    </row>
    <row r="17" spans="1:11" x14ac:dyDescent="0.2">
      <c r="A17" s="99">
        <f t="shared" si="6"/>
        <v>24</v>
      </c>
      <c r="B17" s="110">
        <f t="shared" si="0"/>
        <v>9</v>
      </c>
      <c r="C17" s="180">
        <f t="shared" si="7"/>
        <v>12.124877184000002</v>
      </c>
      <c r="D17" s="106">
        <f t="shared" si="1"/>
        <v>6.6315789473684195</v>
      </c>
      <c r="E17" s="110">
        <f t="shared" si="2"/>
        <v>1828.3544960000008</v>
      </c>
      <c r="F17" s="72">
        <f t="shared" si="8"/>
        <v>0.14171198204768587</v>
      </c>
      <c r="G17" s="100">
        <f t="shared" si="3"/>
        <v>1.5745775783076208E-2</v>
      </c>
      <c r="H17" s="71">
        <f t="shared" si="9"/>
        <v>7.0565663224123245</v>
      </c>
      <c r="I17" s="71">
        <f t="shared" si="4"/>
        <v>0.78406292471248051</v>
      </c>
      <c r="J17" s="126">
        <f t="shared" si="10"/>
        <v>14.171198204768586</v>
      </c>
      <c r="K17" s="127">
        <f t="shared" si="5"/>
        <v>1.5745775783076208</v>
      </c>
    </row>
    <row r="18" spans="1:11" x14ac:dyDescent="0.2">
      <c r="A18" s="232">
        <f t="shared" si="6"/>
        <v>25</v>
      </c>
      <c r="B18" s="110">
        <f t="shared" si="0"/>
        <v>10</v>
      </c>
      <c r="C18" s="180">
        <f t="shared" si="7"/>
        <v>13.069863333333334</v>
      </c>
      <c r="D18" s="106">
        <f t="shared" si="1"/>
        <v>7.4666666666666659</v>
      </c>
      <c r="E18" s="183">
        <f t="shared" ref="E18:E23" si="11">A18/100*(-135071*(A18/100)^2+124885*A18/100-44660)+7718.6+G$7</f>
        <v>1750.4281250000004</v>
      </c>
      <c r="F18" s="72">
        <f t="shared" si="8"/>
        <v>0.15275670095059998</v>
      </c>
      <c r="G18" s="100">
        <f t="shared" si="3"/>
        <v>1.5275670095059998E-2</v>
      </c>
      <c r="H18" s="71">
        <f t="shared" si="9"/>
        <v>6.5463576640306611</v>
      </c>
      <c r="I18" s="71">
        <f t="shared" si="4"/>
        <v>0.65463576640306609</v>
      </c>
      <c r="J18" s="182">
        <f t="shared" si="10"/>
        <v>15.275670095059999</v>
      </c>
      <c r="K18" s="127">
        <f t="shared" si="5"/>
        <v>1.5275670095059999</v>
      </c>
    </row>
    <row r="19" spans="1:11" x14ac:dyDescent="0.2">
      <c r="A19" s="99">
        <f t="shared" si="6"/>
        <v>26</v>
      </c>
      <c r="B19" s="110">
        <f t="shared" si="0"/>
        <v>11</v>
      </c>
      <c r="C19" s="180">
        <f t="shared" si="7"/>
        <v>13.961707460324329</v>
      </c>
      <c r="D19" s="106">
        <f t="shared" si="1"/>
        <v>8.3243243243243246</v>
      </c>
      <c r="E19" s="110">
        <f t="shared" si="11"/>
        <v>1677.2181040000005</v>
      </c>
      <c r="F19" s="72">
        <f t="shared" si="8"/>
        <v>0.16318031159799354</v>
      </c>
      <c r="G19" s="100">
        <f t="shared" si="3"/>
        <v>1.4834573781635775E-2</v>
      </c>
      <c r="H19" s="71">
        <f t="shared" si="9"/>
        <v>6.1281902835408975</v>
      </c>
      <c r="I19" s="71">
        <f t="shared" si="4"/>
        <v>0.55710820759462709</v>
      </c>
      <c r="J19" s="126">
        <f t="shared" si="10"/>
        <v>16.318031159799354</v>
      </c>
      <c r="K19" s="127">
        <f t="shared" si="5"/>
        <v>1.4834573781635776</v>
      </c>
    </row>
    <row r="20" spans="1:11" x14ac:dyDescent="0.2">
      <c r="A20" s="99">
        <f t="shared" si="6"/>
        <v>27</v>
      </c>
      <c r="B20" s="110">
        <f t="shared" si="0"/>
        <v>12</v>
      </c>
      <c r="C20" s="180">
        <f t="shared" si="7"/>
        <v>14.801619352109574</v>
      </c>
      <c r="D20" s="106">
        <f t="shared" si="1"/>
        <v>9.205479452054794</v>
      </c>
      <c r="E20" s="110">
        <f t="shared" si="11"/>
        <v>1607.9140069999985</v>
      </c>
      <c r="F20" s="72">
        <f t="shared" si="8"/>
        <v>0.17299695362446907</v>
      </c>
      <c r="G20" s="100">
        <f t="shared" si="3"/>
        <v>1.441641280203909E-2</v>
      </c>
      <c r="H20" s="71">
        <f t="shared" si="9"/>
        <v>5.7804486093479843</v>
      </c>
      <c r="I20" s="71">
        <f t="shared" si="4"/>
        <v>0.48170405077899869</v>
      </c>
      <c r="J20" s="126">
        <f t="shared" si="10"/>
        <v>17.299695362446908</v>
      </c>
      <c r="K20" s="127">
        <f t="shared" si="5"/>
        <v>1.4416412802039089</v>
      </c>
    </row>
    <row r="21" spans="1:11" x14ac:dyDescent="0.2">
      <c r="A21" s="99">
        <f t="shared" si="6"/>
        <v>28</v>
      </c>
      <c r="B21" s="110">
        <f t="shared" si="0"/>
        <v>13</v>
      </c>
      <c r="C21" s="180">
        <f t="shared" si="7"/>
        <v>15.588354680888886</v>
      </c>
      <c r="D21" s="106">
        <f t="shared" si="1"/>
        <v>10.111111111111111</v>
      </c>
      <c r="E21" s="110">
        <f t="shared" si="11"/>
        <v>1541.7054079999998</v>
      </c>
      <c r="F21" s="72">
        <f t="shared" si="8"/>
        <v>0.1821920836943535</v>
      </c>
      <c r="G21" s="100">
        <f t="shared" si="3"/>
        <v>1.4014775668796423E-2</v>
      </c>
      <c r="H21" s="71">
        <f t="shared" si="9"/>
        <v>5.4887126801711421</v>
      </c>
      <c r="I21" s="71">
        <f t="shared" si="4"/>
        <v>0.4222086677054725</v>
      </c>
      <c r="J21" s="126">
        <f t="shared" si="10"/>
        <v>18.21920836943535</v>
      </c>
      <c r="K21" s="127">
        <f t="shared" si="5"/>
        <v>1.4014775668796422</v>
      </c>
    </row>
    <row r="22" spans="1:11" x14ac:dyDescent="0.2">
      <c r="A22" s="99">
        <f t="shared" si="6"/>
        <v>29</v>
      </c>
      <c r="B22" s="110">
        <f t="shared" si="0"/>
        <v>14</v>
      </c>
      <c r="C22" s="180">
        <f t="shared" si="7"/>
        <v>16.318042178929595</v>
      </c>
      <c r="D22" s="106">
        <f t="shared" si="1"/>
        <v>11.04225352112676</v>
      </c>
      <c r="E22" s="110">
        <f t="shared" si="11"/>
        <v>1477.7818810000017</v>
      </c>
      <c r="F22" s="72">
        <f t="shared" si="8"/>
        <v>0.19072045557421216</v>
      </c>
      <c r="G22" s="100">
        <f t="shared" si="3"/>
        <v>1.3622889683872296E-2</v>
      </c>
      <c r="H22" s="71">
        <f t="shared" si="9"/>
        <v>5.2432760659534248</v>
      </c>
      <c r="I22" s="71">
        <f t="shared" si="4"/>
        <v>0.37451971899667319</v>
      </c>
      <c r="J22" s="126">
        <f t="shared" si="10"/>
        <v>19.072045557421216</v>
      </c>
      <c r="K22" s="127">
        <f t="shared" si="5"/>
        <v>1.3622889683872297</v>
      </c>
    </row>
    <row r="23" spans="1:11" x14ac:dyDescent="0.2">
      <c r="A23" s="231">
        <f t="shared" si="6"/>
        <v>30</v>
      </c>
      <c r="B23" s="111">
        <f t="shared" si="0"/>
        <v>15</v>
      </c>
      <c r="C23" s="181">
        <f t="shared" si="7"/>
        <v>16.983996000000005</v>
      </c>
      <c r="D23" s="178">
        <f t="shared" si="1"/>
        <v>12</v>
      </c>
      <c r="E23" s="233">
        <f t="shared" si="11"/>
        <v>1415.3330000000005</v>
      </c>
      <c r="F23" s="104">
        <f>C23/92/G$5</f>
        <v>0.19850392706872375</v>
      </c>
      <c r="G23" s="105">
        <f t="shared" si="3"/>
        <v>1.3233595137914916E-2</v>
      </c>
      <c r="H23" s="103">
        <f t="shared" si="9"/>
        <v>5.0376837111831625</v>
      </c>
      <c r="I23" s="103">
        <f t="shared" si="4"/>
        <v>0.33584558074554416</v>
      </c>
      <c r="J23" s="234">
        <f t="shared" si="10"/>
        <v>19.850392706872373</v>
      </c>
      <c r="K23" s="128">
        <f t="shared" si="5"/>
        <v>1.3233595137914915</v>
      </c>
    </row>
    <row r="25" spans="1:11" x14ac:dyDescent="0.2">
      <c r="A25" s="64">
        <v>17</v>
      </c>
      <c r="E25" s="110">
        <f>A25/100*(-135071*(A25/100)^2+124885*A25/100-44660)+7718.6</f>
        <v>3071.9726769999997</v>
      </c>
    </row>
  </sheetData>
  <phoneticPr fontId="5" type="noConversion"/>
  <pageMargins left="0.75" right="0.75" top="1" bottom="1" header="0.5" footer="0.5"/>
  <pageSetup paperSize="1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B16" sqref="B16"/>
    </sheetView>
  </sheetViews>
  <sheetFormatPr defaultRowHeight="12.75" x14ac:dyDescent="0.2"/>
  <cols>
    <col min="1" max="1" width="34.7109375" customWidth="1"/>
    <col min="2" max="2" width="9.28515625" bestFit="1" customWidth="1"/>
    <col min="5" max="5" width="10.42578125" bestFit="1" customWidth="1"/>
  </cols>
  <sheetData>
    <row r="1" spans="1:10" x14ac:dyDescent="0.2">
      <c r="A1" s="80"/>
      <c r="B1" s="80"/>
      <c r="J1" s="13"/>
    </row>
    <row r="2" spans="1:10" x14ac:dyDescent="0.2">
      <c r="A2" s="80"/>
      <c r="B2" s="80"/>
      <c r="E2" s="14" t="s">
        <v>26</v>
      </c>
    </row>
    <row r="3" spans="1:10" x14ac:dyDescent="0.2">
      <c r="A3" s="80" t="s">
        <v>11</v>
      </c>
      <c r="B3" s="84">
        <v>100000</v>
      </c>
      <c r="E3" t="s">
        <v>29</v>
      </c>
    </row>
    <row r="4" spans="1:10" x14ac:dyDescent="0.2">
      <c r="A4" s="80" t="s">
        <v>32</v>
      </c>
      <c r="B4" s="84">
        <f>B3*0.01</f>
        <v>1000</v>
      </c>
      <c r="E4" t="s">
        <v>28</v>
      </c>
    </row>
    <row r="5" spans="1:10" x14ac:dyDescent="0.2">
      <c r="A5" s="80" t="s">
        <v>13</v>
      </c>
      <c r="B5" s="87">
        <v>20</v>
      </c>
    </row>
    <row r="6" spans="1:10" x14ac:dyDescent="0.2">
      <c r="A6" s="80" t="s">
        <v>14</v>
      </c>
      <c r="B6" s="87">
        <v>10</v>
      </c>
    </row>
    <row r="7" spans="1:10" x14ac:dyDescent="0.2">
      <c r="A7" s="80" t="s">
        <v>12</v>
      </c>
      <c r="B7" s="84">
        <v>20000</v>
      </c>
    </row>
    <row r="8" spans="1:10" x14ac:dyDescent="0.2">
      <c r="A8" s="80" t="s">
        <v>18</v>
      </c>
      <c r="B8" s="84">
        <f>B3*0.1</f>
        <v>10000</v>
      </c>
    </row>
    <row r="9" spans="1:10" x14ac:dyDescent="0.2">
      <c r="A9" s="80" t="s">
        <v>21</v>
      </c>
      <c r="B9" s="88">
        <v>0.05</v>
      </c>
    </row>
    <row r="10" spans="1:10" x14ac:dyDescent="0.2">
      <c r="A10" s="80"/>
      <c r="B10" s="80"/>
    </row>
    <row r="11" spans="1:10" x14ac:dyDescent="0.2">
      <c r="A11" s="80" t="s">
        <v>15</v>
      </c>
      <c r="B11" s="87">
        <v>2500</v>
      </c>
    </row>
    <row r="12" spans="1:10" x14ac:dyDescent="0.2">
      <c r="A12" s="80" t="s">
        <v>16</v>
      </c>
      <c r="B12" s="82">
        <v>5</v>
      </c>
      <c r="E12" t="s">
        <v>93</v>
      </c>
      <c r="H12" s="12">
        <f>B7*0.3/B6</f>
        <v>600</v>
      </c>
    </row>
    <row r="13" spans="1:10" x14ac:dyDescent="0.2">
      <c r="A13" s="80" t="s">
        <v>17</v>
      </c>
      <c r="B13" s="87">
        <v>150</v>
      </c>
      <c r="E13" t="s">
        <v>94</v>
      </c>
      <c r="H13" s="76">
        <f>((B3-B7)*0.15)/20</f>
        <v>600</v>
      </c>
    </row>
    <row r="14" spans="1:10" x14ac:dyDescent="0.2">
      <c r="A14" s="80" t="s">
        <v>30</v>
      </c>
      <c r="B14" s="83">
        <f>B11*B12*B13</f>
        <v>1875000</v>
      </c>
      <c r="E14" t="s">
        <v>23</v>
      </c>
      <c r="H14" s="12">
        <f>SUM(H12:H13)</f>
        <v>1200</v>
      </c>
    </row>
    <row r="15" spans="1:10" x14ac:dyDescent="0.2">
      <c r="A15" s="115" t="s">
        <v>31</v>
      </c>
      <c r="B15" s="118">
        <f>E54/B14</f>
        <v>8.975007379138101E-4</v>
      </c>
    </row>
    <row r="16" spans="1:10" x14ac:dyDescent="0.2">
      <c r="A16" s="113" t="s">
        <v>121</v>
      </c>
      <c r="B16" s="117">
        <f>E54/B13/B11</f>
        <v>4.4875036895690506E-3</v>
      </c>
    </row>
    <row r="19" spans="2:7" x14ac:dyDescent="0.2">
      <c r="B19" s="80"/>
      <c r="C19" s="80"/>
      <c r="D19" s="80" t="s">
        <v>20</v>
      </c>
      <c r="E19" s="78" t="s">
        <v>22</v>
      </c>
      <c r="G19" s="14" t="s">
        <v>26</v>
      </c>
    </row>
    <row r="20" spans="2:7" x14ac:dyDescent="0.2">
      <c r="B20" s="80" t="s">
        <v>19</v>
      </c>
      <c r="C20" s="80">
        <v>0</v>
      </c>
      <c r="D20" s="85">
        <v>0</v>
      </c>
      <c r="E20" s="85">
        <f>D20/((1+B$9)^C20)</f>
        <v>0</v>
      </c>
      <c r="G20" t="s">
        <v>27</v>
      </c>
    </row>
    <row r="21" spans="2:7" x14ac:dyDescent="0.2">
      <c r="B21" s="80" t="s">
        <v>19</v>
      </c>
      <c r="C21" s="80">
        <f>C20+1</f>
        <v>1</v>
      </c>
      <c r="D21" s="85">
        <f>IF(C21&gt;B$5,0,IF(C21=B$6,-(B$7+B$4),IF(C21=B$5,B$8-B$4,-B$4)))</f>
        <v>-1000</v>
      </c>
      <c r="E21" s="85">
        <f>D21/((1+B$9)^C21)</f>
        <v>-952.38095238095229</v>
      </c>
    </row>
    <row r="22" spans="2:7" x14ac:dyDescent="0.2">
      <c r="B22" s="80" t="s">
        <v>19</v>
      </c>
      <c r="C22" s="80">
        <f t="shared" ref="C22:C50" si="0">C21+1</f>
        <v>2</v>
      </c>
      <c r="D22" s="85">
        <f t="shared" ref="D22:D50" si="1">IF(C22&gt;B$5,0,IF(C22=B$6,-(B$7+B$4),IF(C22=B$5,B$8-B$4,-B$4)))</f>
        <v>-1000</v>
      </c>
      <c r="E22" s="85">
        <f>D22/((1+B$9)^C22)</f>
        <v>-907.02947845804988</v>
      </c>
    </row>
    <row r="23" spans="2:7" x14ac:dyDescent="0.2">
      <c r="B23" s="80" t="s">
        <v>19</v>
      </c>
      <c r="C23" s="80">
        <f t="shared" si="0"/>
        <v>3</v>
      </c>
      <c r="D23" s="85">
        <f t="shared" si="1"/>
        <v>-1000</v>
      </c>
      <c r="E23" s="85">
        <f t="shared" ref="E23:E50" si="2">D23/((1+B$9)^C23)</f>
        <v>-863.83759853147603</v>
      </c>
    </row>
    <row r="24" spans="2:7" x14ac:dyDescent="0.2">
      <c r="B24" s="80" t="s">
        <v>19</v>
      </c>
      <c r="C24" s="80">
        <f t="shared" si="0"/>
        <v>4</v>
      </c>
      <c r="D24" s="85">
        <f t="shared" si="1"/>
        <v>-1000</v>
      </c>
      <c r="E24" s="85">
        <f t="shared" si="2"/>
        <v>-822.70247479188197</v>
      </c>
    </row>
    <row r="25" spans="2:7" x14ac:dyDescent="0.2">
      <c r="B25" s="80" t="s">
        <v>19</v>
      </c>
      <c r="C25" s="80">
        <f t="shared" si="0"/>
        <v>5</v>
      </c>
      <c r="D25" s="85">
        <f t="shared" si="1"/>
        <v>-1000</v>
      </c>
      <c r="E25" s="85">
        <f t="shared" si="2"/>
        <v>-783.526166468459</v>
      </c>
    </row>
    <row r="26" spans="2:7" x14ac:dyDescent="0.2">
      <c r="B26" s="80" t="s">
        <v>19</v>
      </c>
      <c r="C26" s="80">
        <f t="shared" si="0"/>
        <v>6</v>
      </c>
      <c r="D26" s="85">
        <f t="shared" si="1"/>
        <v>-1000</v>
      </c>
      <c r="E26" s="85">
        <f t="shared" si="2"/>
        <v>-746.2153966366277</v>
      </c>
    </row>
    <row r="27" spans="2:7" x14ac:dyDescent="0.2">
      <c r="B27" s="80" t="s">
        <v>19</v>
      </c>
      <c r="C27" s="80">
        <f t="shared" si="0"/>
        <v>7</v>
      </c>
      <c r="D27" s="85">
        <f t="shared" si="1"/>
        <v>-1000</v>
      </c>
      <c r="E27" s="85">
        <f t="shared" si="2"/>
        <v>-710.68133013012141</v>
      </c>
    </row>
    <row r="28" spans="2:7" x14ac:dyDescent="0.2">
      <c r="B28" s="80" t="s">
        <v>19</v>
      </c>
      <c r="C28" s="80">
        <f t="shared" si="0"/>
        <v>8</v>
      </c>
      <c r="D28" s="85">
        <f t="shared" si="1"/>
        <v>-1000</v>
      </c>
      <c r="E28" s="85">
        <f t="shared" si="2"/>
        <v>-676.83936202868722</v>
      </c>
    </row>
    <row r="29" spans="2:7" x14ac:dyDescent="0.2">
      <c r="B29" s="80" t="s">
        <v>19</v>
      </c>
      <c r="C29" s="80">
        <f t="shared" si="0"/>
        <v>9</v>
      </c>
      <c r="D29" s="85">
        <f t="shared" si="1"/>
        <v>-1000</v>
      </c>
      <c r="E29" s="85">
        <f t="shared" si="2"/>
        <v>-644.60891621779729</v>
      </c>
    </row>
    <row r="30" spans="2:7" x14ac:dyDescent="0.2">
      <c r="B30" s="80" t="s">
        <v>19</v>
      </c>
      <c r="C30" s="80">
        <f t="shared" si="0"/>
        <v>10</v>
      </c>
      <c r="D30" s="85">
        <f t="shared" si="1"/>
        <v>-21000</v>
      </c>
      <c r="E30" s="85">
        <f t="shared" si="2"/>
        <v>-12892.178324355946</v>
      </c>
    </row>
    <row r="31" spans="2:7" x14ac:dyDescent="0.2">
      <c r="B31" s="80" t="s">
        <v>19</v>
      </c>
      <c r="C31" s="80">
        <f t="shared" si="0"/>
        <v>11</v>
      </c>
      <c r="D31" s="85">
        <f t="shared" si="1"/>
        <v>-1000</v>
      </c>
      <c r="E31" s="85">
        <f t="shared" si="2"/>
        <v>-584.67928908643739</v>
      </c>
    </row>
    <row r="32" spans="2:7" x14ac:dyDescent="0.2">
      <c r="B32" s="80" t="s">
        <v>19</v>
      </c>
      <c r="C32" s="80">
        <f t="shared" si="0"/>
        <v>12</v>
      </c>
      <c r="D32" s="85">
        <f t="shared" si="1"/>
        <v>-1000</v>
      </c>
      <c r="E32" s="85">
        <f t="shared" si="2"/>
        <v>-556.83741817755947</v>
      </c>
    </row>
    <row r="33" spans="2:5" x14ac:dyDescent="0.2">
      <c r="B33" s="80" t="s">
        <v>19</v>
      </c>
      <c r="C33" s="80">
        <f t="shared" si="0"/>
        <v>13</v>
      </c>
      <c r="D33" s="85">
        <f t="shared" si="1"/>
        <v>-1000</v>
      </c>
      <c r="E33" s="85">
        <f t="shared" si="2"/>
        <v>-530.32135064529473</v>
      </c>
    </row>
    <row r="34" spans="2:5" x14ac:dyDescent="0.2">
      <c r="B34" s="80" t="s">
        <v>19</v>
      </c>
      <c r="C34" s="80">
        <f t="shared" si="0"/>
        <v>14</v>
      </c>
      <c r="D34" s="85">
        <f t="shared" si="1"/>
        <v>-1000</v>
      </c>
      <c r="E34" s="85">
        <f t="shared" si="2"/>
        <v>-505.06795299551885</v>
      </c>
    </row>
    <row r="35" spans="2:5" x14ac:dyDescent="0.2">
      <c r="B35" s="80" t="s">
        <v>19</v>
      </c>
      <c r="C35" s="80">
        <f t="shared" si="0"/>
        <v>15</v>
      </c>
      <c r="D35" s="85">
        <f t="shared" si="1"/>
        <v>-1000</v>
      </c>
      <c r="E35" s="85">
        <f t="shared" si="2"/>
        <v>-481.01709809097019</v>
      </c>
    </row>
    <row r="36" spans="2:5" x14ac:dyDescent="0.2">
      <c r="B36" s="80" t="s">
        <v>19</v>
      </c>
      <c r="C36" s="80">
        <f t="shared" si="0"/>
        <v>16</v>
      </c>
      <c r="D36" s="85">
        <f t="shared" si="1"/>
        <v>-1000</v>
      </c>
      <c r="E36" s="85">
        <f t="shared" si="2"/>
        <v>-458.1115219914002</v>
      </c>
    </row>
    <row r="37" spans="2:5" x14ac:dyDescent="0.2">
      <c r="B37" s="80" t="s">
        <v>19</v>
      </c>
      <c r="C37" s="80">
        <f t="shared" si="0"/>
        <v>17</v>
      </c>
      <c r="D37" s="85">
        <f t="shared" si="1"/>
        <v>-1000</v>
      </c>
      <c r="E37" s="85">
        <f t="shared" si="2"/>
        <v>-436.2966876108573</v>
      </c>
    </row>
    <row r="38" spans="2:5" x14ac:dyDescent="0.2">
      <c r="B38" s="80" t="s">
        <v>19</v>
      </c>
      <c r="C38" s="80">
        <f t="shared" si="0"/>
        <v>18</v>
      </c>
      <c r="D38" s="85">
        <f t="shared" si="1"/>
        <v>-1000</v>
      </c>
      <c r="E38" s="85">
        <f t="shared" si="2"/>
        <v>-415.52065486748313</v>
      </c>
    </row>
    <row r="39" spans="2:5" x14ac:dyDescent="0.2">
      <c r="B39" s="80" t="s">
        <v>19</v>
      </c>
      <c r="C39" s="80">
        <f t="shared" si="0"/>
        <v>19</v>
      </c>
      <c r="D39" s="85">
        <f t="shared" si="1"/>
        <v>-1000</v>
      </c>
      <c r="E39" s="85">
        <f t="shared" si="2"/>
        <v>-395.73395701665061</v>
      </c>
    </row>
    <row r="40" spans="2:5" x14ac:dyDescent="0.2">
      <c r="B40" s="80" t="s">
        <v>19</v>
      </c>
      <c r="C40" s="80">
        <f t="shared" si="0"/>
        <v>20</v>
      </c>
      <c r="D40" s="85">
        <f t="shared" si="1"/>
        <v>9000</v>
      </c>
      <c r="E40" s="85">
        <f t="shared" si="2"/>
        <v>3392.0053458570055</v>
      </c>
    </row>
    <row r="41" spans="2:5" x14ac:dyDescent="0.2">
      <c r="B41" s="80" t="s">
        <v>19</v>
      </c>
      <c r="C41" s="80">
        <f t="shared" si="0"/>
        <v>21</v>
      </c>
      <c r="D41" s="85">
        <f t="shared" si="1"/>
        <v>0</v>
      </c>
      <c r="E41" s="85">
        <f t="shared" si="2"/>
        <v>0</v>
      </c>
    </row>
    <row r="42" spans="2:5" x14ac:dyDescent="0.2">
      <c r="B42" s="80" t="s">
        <v>19</v>
      </c>
      <c r="C42" s="80">
        <f t="shared" si="0"/>
        <v>22</v>
      </c>
      <c r="D42" s="85">
        <f t="shared" si="1"/>
        <v>0</v>
      </c>
      <c r="E42" s="85">
        <f t="shared" si="2"/>
        <v>0</v>
      </c>
    </row>
    <row r="43" spans="2:5" x14ac:dyDescent="0.2">
      <c r="B43" s="80" t="s">
        <v>19</v>
      </c>
      <c r="C43" s="80">
        <f t="shared" si="0"/>
        <v>23</v>
      </c>
      <c r="D43" s="85">
        <f t="shared" si="1"/>
        <v>0</v>
      </c>
      <c r="E43" s="85">
        <f t="shared" si="2"/>
        <v>0</v>
      </c>
    </row>
    <row r="44" spans="2:5" x14ac:dyDescent="0.2">
      <c r="B44" s="80" t="s">
        <v>19</v>
      </c>
      <c r="C44" s="80">
        <f t="shared" si="0"/>
        <v>24</v>
      </c>
      <c r="D44" s="85">
        <f t="shared" si="1"/>
        <v>0</v>
      </c>
      <c r="E44" s="85">
        <f t="shared" si="2"/>
        <v>0</v>
      </c>
    </row>
    <row r="45" spans="2:5" x14ac:dyDescent="0.2">
      <c r="B45" s="80" t="s">
        <v>19</v>
      </c>
      <c r="C45" s="80">
        <f t="shared" si="0"/>
        <v>25</v>
      </c>
      <c r="D45" s="85">
        <f t="shared" si="1"/>
        <v>0</v>
      </c>
      <c r="E45" s="85">
        <f t="shared" si="2"/>
        <v>0</v>
      </c>
    </row>
    <row r="46" spans="2:5" x14ac:dyDescent="0.2">
      <c r="B46" s="80" t="s">
        <v>19</v>
      </c>
      <c r="C46" s="80">
        <f t="shared" si="0"/>
        <v>26</v>
      </c>
      <c r="D46" s="85">
        <f t="shared" si="1"/>
        <v>0</v>
      </c>
      <c r="E46" s="85">
        <f t="shared" si="2"/>
        <v>0</v>
      </c>
    </row>
    <row r="47" spans="2:5" x14ac:dyDescent="0.2">
      <c r="B47" s="80" t="s">
        <v>19</v>
      </c>
      <c r="C47" s="80">
        <f t="shared" si="0"/>
        <v>27</v>
      </c>
      <c r="D47" s="85">
        <f t="shared" si="1"/>
        <v>0</v>
      </c>
      <c r="E47" s="85">
        <f t="shared" si="2"/>
        <v>0</v>
      </c>
    </row>
    <row r="48" spans="2:5" x14ac:dyDescent="0.2">
      <c r="B48" s="80" t="s">
        <v>19</v>
      </c>
      <c r="C48" s="80">
        <f t="shared" si="0"/>
        <v>28</v>
      </c>
      <c r="D48" s="85">
        <f t="shared" si="1"/>
        <v>0</v>
      </c>
      <c r="E48" s="85">
        <f t="shared" si="2"/>
        <v>0</v>
      </c>
    </row>
    <row r="49" spans="2:5" x14ac:dyDescent="0.2">
      <c r="B49" s="80" t="s">
        <v>19</v>
      </c>
      <c r="C49" s="80">
        <f t="shared" si="0"/>
        <v>29</v>
      </c>
      <c r="D49" s="85">
        <f t="shared" si="1"/>
        <v>0</v>
      </c>
      <c r="E49" s="85">
        <f t="shared" si="2"/>
        <v>0</v>
      </c>
    </row>
    <row r="50" spans="2:5" x14ac:dyDescent="0.2">
      <c r="B50" s="80" t="s">
        <v>19</v>
      </c>
      <c r="C50" s="80">
        <f t="shared" si="0"/>
        <v>30</v>
      </c>
      <c r="D50" s="85">
        <f t="shared" si="1"/>
        <v>0</v>
      </c>
      <c r="E50" s="85">
        <f t="shared" si="2"/>
        <v>0</v>
      </c>
    </row>
    <row r="51" spans="2:5" x14ac:dyDescent="0.2">
      <c r="B51" s="80"/>
      <c r="C51" s="80"/>
      <c r="D51" s="80"/>
      <c r="E51" s="80"/>
    </row>
    <row r="52" spans="2:5" x14ac:dyDescent="0.2">
      <c r="B52" s="80" t="s">
        <v>23</v>
      </c>
      <c r="C52" s="80"/>
      <c r="D52" s="80"/>
      <c r="E52" s="85">
        <f>SUM(E20:E50)</f>
        <v>-20971.580584625168</v>
      </c>
    </row>
    <row r="53" spans="2:5" x14ac:dyDescent="0.2">
      <c r="B53" s="80" t="s">
        <v>24</v>
      </c>
      <c r="C53" s="80"/>
      <c r="D53" s="80"/>
      <c r="E53" s="85">
        <f>E52/B5</f>
        <v>-1048.5790292312583</v>
      </c>
    </row>
    <row r="54" spans="2:5" x14ac:dyDescent="0.2">
      <c r="B54" s="80" t="s">
        <v>25</v>
      </c>
      <c r="C54" s="80"/>
      <c r="D54" s="80"/>
      <c r="E54" s="86">
        <f>PMT(B$9,B$5,E$52)</f>
        <v>1682.813883588394</v>
      </c>
    </row>
  </sheetData>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8" sqref="B8"/>
    </sheetView>
  </sheetViews>
  <sheetFormatPr defaultRowHeight="12.75" x14ac:dyDescent="0.2"/>
  <cols>
    <col min="1" max="1" width="24.85546875" customWidth="1"/>
  </cols>
  <sheetData>
    <row r="1" spans="1:2" x14ac:dyDescent="0.2">
      <c r="A1" s="80"/>
      <c r="B1" s="80"/>
    </row>
    <row r="2" spans="1:2" x14ac:dyDescent="0.2">
      <c r="A2" s="80" t="s">
        <v>97</v>
      </c>
      <c r="B2" s="81">
        <v>20000</v>
      </c>
    </row>
    <row r="3" spans="1:2" x14ac:dyDescent="0.2">
      <c r="A3" s="80" t="s">
        <v>33</v>
      </c>
      <c r="B3" s="112">
        <v>5</v>
      </c>
    </row>
    <row r="4" spans="1:2" x14ac:dyDescent="0.2">
      <c r="A4" s="80" t="s">
        <v>34</v>
      </c>
      <c r="B4" s="83">
        <f>B2*B3</f>
        <v>100000</v>
      </c>
    </row>
    <row r="5" spans="1:2" x14ac:dyDescent="0.2">
      <c r="A5" s="80"/>
      <c r="B5" s="80"/>
    </row>
    <row r="6" spans="1:2" x14ac:dyDescent="0.2">
      <c r="A6" s="80" t="s">
        <v>37</v>
      </c>
      <c r="B6" s="84">
        <v>15</v>
      </c>
    </row>
    <row r="7" spans="1:2" x14ac:dyDescent="0.2">
      <c r="A7" s="80" t="s">
        <v>35</v>
      </c>
      <c r="B7" s="82">
        <v>8</v>
      </c>
    </row>
    <row r="8" spans="1:2" x14ac:dyDescent="0.2">
      <c r="A8" s="80" t="s">
        <v>36</v>
      </c>
      <c r="B8" s="85">
        <f>B6*B7</f>
        <v>120</v>
      </c>
    </row>
    <row r="9" spans="1:2" x14ac:dyDescent="0.2">
      <c r="A9" s="80"/>
      <c r="B9" s="80"/>
    </row>
    <row r="10" spans="1:2" x14ac:dyDescent="0.2">
      <c r="A10" s="115" t="s">
        <v>38</v>
      </c>
      <c r="B10" s="116">
        <f>B8/B4</f>
        <v>1.1999999999999999E-3</v>
      </c>
    </row>
    <row r="11" spans="1:2" x14ac:dyDescent="0.2">
      <c r="A11" s="113" t="s">
        <v>124</v>
      </c>
      <c r="B11" s="114">
        <f>B8/B2</f>
        <v>6.0000000000000001E-3</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73"/>
  <sheetViews>
    <sheetView workbookViewId="0">
      <selection activeCell="B15" sqref="B15"/>
    </sheetView>
  </sheetViews>
  <sheetFormatPr defaultRowHeight="12.75" x14ac:dyDescent="0.2"/>
  <cols>
    <col min="1" max="1" width="2.85546875" customWidth="1"/>
    <col min="2" max="2" width="5.85546875" customWidth="1"/>
    <col min="6" max="6" width="9.85546875" customWidth="1"/>
    <col min="8" max="8" width="8.5703125" customWidth="1"/>
    <col min="10" max="10" width="8.5703125" customWidth="1"/>
  </cols>
  <sheetData>
    <row r="7" spans="2:9" x14ac:dyDescent="0.2">
      <c r="B7" t="s">
        <v>88</v>
      </c>
    </row>
    <row r="8" spans="2:9" x14ac:dyDescent="0.2">
      <c r="B8" t="s">
        <v>89</v>
      </c>
    </row>
    <row r="10" spans="2:9" ht="13.5" thickBot="1" x14ac:dyDescent="0.25">
      <c r="B10" s="2" t="s">
        <v>86</v>
      </c>
      <c r="C10" s="2"/>
      <c r="D10" s="2"/>
      <c r="E10" s="2"/>
      <c r="G10" s="4" t="s">
        <v>90</v>
      </c>
      <c r="H10" s="15">
        <v>0.6</v>
      </c>
    </row>
    <row r="11" spans="2:9" x14ac:dyDescent="0.2">
      <c r="B11" s="16"/>
      <c r="C11" s="17"/>
      <c r="D11" s="301" t="s">
        <v>84</v>
      </c>
      <c r="E11" s="302"/>
      <c r="F11" s="18"/>
      <c r="G11" s="17"/>
      <c r="H11" s="303" t="s">
        <v>82</v>
      </c>
      <c r="I11" s="304"/>
    </row>
    <row r="12" spans="2:9" x14ac:dyDescent="0.2">
      <c r="B12" s="19" t="s">
        <v>42</v>
      </c>
      <c r="C12" s="20" t="s">
        <v>46</v>
      </c>
      <c r="D12" s="21" t="s">
        <v>66</v>
      </c>
      <c r="E12" s="20" t="s">
        <v>65</v>
      </c>
      <c r="F12" s="305" t="s">
        <v>42</v>
      </c>
      <c r="G12" s="306"/>
      <c r="H12" s="307" t="s">
        <v>45</v>
      </c>
      <c r="I12" s="308"/>
    </row>
    <row r="13" spans="2:9" x14ac:dyDescent="0.2">
      <c r="B13" s="19" t="s">
        <v>45</v>
      </c>
      <c r="C13" s="20" t="s">
        <v>47</v>
      </c>
      <c r="D13" s="8" t="s">
        <v>67</v>
      </c>
      <c r="E13" s="20" t="s">
        <v>68</v>
      </c>
      <c r="F13" s="21" t="s">
        <v>43</v>
      </c>
      <c r="G13" s="9" t="s">
        <v>45</v>
      </c>
      <c r="H13" s="10"/>
      <c r="I13" s="11" t="s">
        <v>48</v>
      </c>
    </row>
    <row r="14" spans="2:9" x14ac:dyDescent="0.2">
      <c r="B14" s="22" t="s">
        <v>8</v>
      </c>
      <c r="C14" s="23" t="s">
        <v>41</v>
      </c>
      <c r="D14" s="24" t="s">
        <v>64</v>
      </c>
      <c r="E14" s="23" t="s">
        <v>64</v>
      </c>
      <c r="F14" s="24" t="s">
        <v>39</v>
      </c>
      <c r="G14" s="25" t="s">
        <v>64</v>
      </c>
      <c r="H14" s="26" t="s">
        <v>64</v>
      </c>
      <c r="I14" s="27" t="s">
        <v>83</v>
      </c>
    </row>
    <row r="15" spans="2:9" ht="13.5" thickBot="1" x14ac:dyDescent="0.25">
      <c r="B15" s="28">
        <v>3</v>
      </c>
      <c r="C15" s="29">
        <v>950</v>
      </c>
      <c r="D15" s="30">
        <v>1.74</v>
      </c>
      <c r="E15" s="29">
        <v>0.54</v>
      </c>
      <c r="F15" s="31">
        <v>5.5</v>
      </c>
      <c r="G15" s="32">
        <f>B15/F15</f>
        <v>0.54545454545454541</v>
      </c>
      <c r="H15" s="33">
        <f>D15*H10+E15+G15</f>
        <v>2.1294545454545455</v>
      </c>
      <c r="I15" s="34">
        <f>H15/C15*100</f>
        <v>0.22415311004784691</v>
      </c>
    </row>
    <row r="16" spans="2:9" x14ac:dyDescent="0.2">
      <c r="B16" s="35" t="s">
        <v>50</v>
      </c>
      <c r="C16" s="36" t="s">
        <v>85</v>
      </c>
    </row>
    <row r="18" spans="2:13" ht="13.5" thickBot="1" x14ac:dyDescent="0.25">
      <c r="B18" s="309" t="s">
        <v>87</v>
      </c>
      <c r="C18" s="309"/>
      <c r="D18" s="309"/>
      <c r="E18" s="309"/>
      <c r="F18" s="309"/>
      <c r="G18" s="309"/>
      <c r="H18" s="309"/>
      <c r="I18" s="309"/>
      <c r="J18" s="309"/>
    </row>
    <row r="19" spans="2:13" x14ac:dyDescent="0.2">
      <c r="B19" s="37"/>
      <c r="C19" s="38"/>
      <c r="D19" s="39" t="s">
        <v>62</v>
      </c>
      <c r="E19" s="38"/>
      <c r="F19" s="40"/>
      <c r="G19" s="41"/>
      <c r="H19" s="18"/>
      <c r="I19" s="17"/>
      <c r="J19" s="39" t="s">
        <v>23</v>
      </c>
    </row>
    <row r="20" spans="2:13" x14ac:dyDescent="0.2">
      <c r="B20" s="42"/>
      <c r="C20" s="8" t="s">
        <v>81</v>
      </c>
      <c r="D20" s="9" t="s">
        <v>63</v>
      </c>
      <c r="E20" s="8" t="s">
        <v>42</v>
      </c>
      <c r="F20" s="4" t="s">
        <v>84</v>
      </c>
      <c r="G20" s="305" t="s">
        <v>69</v>
      </c>
      <c r="H20" s="295"/>
      <c r="I20" s="306"/>
      <c r="J20" s="20" t="s">
        <v>45</v>
      </c>
    </row>
    <row r="21" spans="2:13" x14ac:dyDescent="0.2">
      <c r="B21" s="8" t="s">
        <v>55</v>
      </c>
      <c r="C21" s="8" t="s">
        <v>44</v>
      </c>
      <c r="D21" s="20" t="s">
        <v>59</v>
      </c>
      <c r="E21" s="8" t="s">
        <v>45</v>
      </c>
      <c r="F21" s="4" t="s">
        <v>45</v>
      </c>
      <c r="G21" s="8" t="s">
        <v>45</v>
      </c>
      <c r="H21" s="20" t="s">
        <v>57</v>
      </c>
      <c r="I21" s="20" t="s">
        <v>48</v>
      </c>
      <c r="J21" s="20" t="s">
        <v>48</v>
      </c>
    </row>
    <row r="22" spans="2:13" ht="13.5" thickBot="1" x14ac:dyDescent="0.25">
      <c r="B22" s="43" t="s">
        <v>56</v>
      </c>
      <c r="C22" s="43" t="s">
        <v>40</v>
      </c>
      <c r="D22" s="44" t="s">
        <v>60</v>
      </c>
      <c r="E22" s="45" t="s">
        <v>49</v>
      </c>
      <c r="F22" s="46" t="s">
        <v>51</v>
      </c>
      <c r="G22" s="45" t="s">
        <v>52</v>
      </c>
      <c r="H22" s="47" t="s">
        <v>53</v>
      </c>
      <c r="I22" s="44" t="s">
        <v>54</v>
      </c>
      <c r="J22" s="44" t="s">
        <v>54</v>
      </c>
    </row>
    <row r="23" spans="2:13" x14ac:dyDescent="0.2">
      <c r="B23" s="42">
        <v>1</v>
      </c>
      <c r="C23" s="48">
        <v>5</v>
      </c>
      <c r="D23" s="49">
        <v>2</v>
      </c>
      <c r="E23" s="50">
        <f>C23*2*G15*100/C15</f>
        <v>0.57416267942583721</v>
      </c>
      <c r="F23" s="51">
        <f>((D15*H10+E15)*C23*2)/C15*100</f>
        <v>1.6673684210526316</v>
      </c>
      <c r="G23" s="52">
        <v>15</v>
      </c>
      <c r="H23" s="53">
        <f>C23*2/45+D23/60</f>
        <v>0.25555555555555554</v>
      </c>
      <c r="I23" s="54">
        <f>G23*100*H23/C15</f>
        <v>0.40350877192982454</v>
      </c>
      <c r="J23" s="119">
        <f>E23+F23+I23</f>
        <v>2.6450398724082933</v>
      </c>
      <c r="K23" s="120" t="s">
        <v>91</v>
      </c>
      <c r="L23" s="79"/>
      <c r="M23" s="79"/>
    </row>
    <row r="24" spans="2:13" ht="13.5" thickBot="1" x14ac:dyDescent="0.25">
      <c r="B24" s="55">
        <v>2</v>
      </c>
      <c r="C24" s="56">
        <v>10</v>
      </c>
      <c r="D24" s="57">
        <v>15</v>
      </c>
      <c r="E24" s="58">
        <f>C24*2*G15*100/C15</f>
        <v>1.1483253588516744</v>
      </c>
      <c r="F24" s="59">
        <f>((D15*H10+E15)*C24*2)/C15*100</f>
        <v>3.3347368421052632</v>
      </c>
      <c r="G24" s="60">
        <f>G23</f>
        <v>15</v>
      </c>
      <c r="H24" s="61">
        <f>C24*2/45+D24/60</f>
        <v>0.69444444444444442</v>
      </c>
      <c r="I24" s="62">
        <f>G24*100*H24/C15</f>
        <v>1.0964912280701755</v>
      </c>
      <c r="J24" s="121">
        <f>E24+F24+I24</f>
        <v>5.5795534290271132</v>
      </c>
      <c r="K24" s="122" t="s">
        <v>92</v>
      </c>
      <c r="L24" s="123"/>
      <c r="M24" s="123"/>
    </row>
    <row r="25" spans="2:13" x14ac:dyDescent="0.2">
      <c r="B25" s="35" t="s">
        <v>58</v>
      </c>
      <c r="C25" t="s">
        <v>61</v>
      </c>
    </row>
    <row r="54" spans="2:3" x14ac:dyDescent="0.2">
      <c r="B54" s="1" t="s">
        <v>7</v>
      </c>
      <c r="C54" s="1"/>
    </row>
    <row r="55" spans="2:3" x14ac:dyDescent="0.2">
      <c r="B55" s="1"/>
      <c r="C55" s="1" t="s">
        <v>1</v>
      </c>
    </row>
    <row r="56" spans="2:3" x14ac:dyDescent="0.2">
      <c r="B56" s="1"/>
      <c r="C56" s="1" t="s">
        <v>2</v>
      </c>
    </row>
    <row r="57" spans="2:3" x14ac:dyDescent="0.2">
      <c r="B57" s="1"/>
      <c r="C57" s="1" t="s">
        <v>3</v>
      </c>
    </row>
    <row r="58" spans="2:3" x14ac:dyDescent="0.2">
      <c r="B58" s="1"/>
      <c r="C58" s="1" t="s">
        <v>4</v>
      </c>
    </row>
    <row r="59" spans="2:3" x14ac:dyDescent="0.2">
      <c r="B59" s="1"/>
      <c r="C59" s="1" t="s">
        <v>5</v>
      </c>
    </row>
    <row r="60" spans="2:3" x14ac:dyDescent="0.2">
      <c r="B60" s="1"/>
      <c r="C60" s="5" t="s">
        <v>6</v>
      </c>
    </row>
    <row r="65" spans="3:12" x14ac:dyDescent="0.2">
      <c r="C65" s="63" t="s">
        <v>42</v>
      </c>
      <c r="D65" s="300" t="s">
        <v>72</v>
      </c>
      <c r="E65" s="300"/>
      <c r="F65" s="300"/>
    </row>
    <row r="66" spans="3:12" x14ac:dyDescent="0.2">
      <c r="C66" s="63" t="s">
        <v>45</v>
      </c>
      <c r="D66" s="64" t="s">
        <v>64</v>
      </c>
      <c r="E66" s="65" t="s">
        <v>64</v>
      </c>
      <c r="G66" s="300" t="s">
        <v>73</v>
      </c>
      <c r="H66" s="300"/>
      <c r="I66" t="s">
        <v>76</v>
      </c>
      <c r="J66" s="4" t="s">
        <v>79</v>
      </c>
      <c r="K66" s="4" t="s">
        <v>79</v>
      </c>
      <c r="L66" s="4" t="s">
        <v>80</v>
      </c>
    </row>
    <row r="67" spans="3:12" x14ac:dyDescent="0.2">
      <c r="C67" s="66" t="s">
        <v>8</v>
      </c>
      <c r="D67" s="67" t="s">
        <v>74</v>
      </c>
      <c r="E67" s="68" t="s">
        <v>75</v>
      </c>
      <c r="F67" s="67" t="s">
        <v>49</v>
      </c>
      <c r="G67" s="67" t="s">
        <v>70</v>
      </c>
      <c r="H67" s="67" t="s">
        <v>71</v>
      </c>
      <c r="I67" s="69" t="s">
        <v>64</v>
      </c>
      <c r="J67" s="69" t="s">
        <v>77</v>
      </c>
      <c r="K67" s="69" t="s">
        <v>78</v>
      </c>
      <c r="L67" s="70" t="s">
        <v>0</v>
      </c>
    </row>
    <row r="68" spans="3:12" x14ac:dyDescent="0.2">
      <c r="C68" s="71">
        <v>2.5</v>
      </c>
      <c r="D68">
        <v>0.45800000000000002</v>
      </c>
      <c r="E68" s="72">
        <f>1.277-0.278</f>
        <v>0.99899999999999989</v>
      </c>
      <c r="F68">
        <v>1.1000000000000001</v>
      </c>
      <c r="G68">
        <v>45.5</v>
      </c>
      <c r="H68" s="71">
        <v>0.21</v>
      </c>
      <c r="I68">
        <f t="shared" ref="I68:I73" si="0">E68+0.278</f>
        <v>1.2769999999999999</v>
      </c>
      <c r="J68" s="73">
        <f t="shared" ref="J68:J73" si="1">D68/E68</f>
        <v>0.45845845845845851</v>
      </c>
      <c r="K68" s="73">
        <f t="shared" ref="K68:K73" si="2">D68/I68</f>
        <v>0.35865309318715743</v>
      </c>
      <c r="L68" s="73">
        <f t="shared" ref="L68:L73" si="3">0.278/I68</f>
        <v>0.21769772905246676</v>
      </c>
    </row>
    <row r="69" spans="3:12" x14ac:dyDescent="0.2">
      <c r="C69" s="74">
        <v>3</v>
      </c>
      <c r="D69" s="72">
        <v>0.55000000000000004</v>
      </c>
      <c r="E69" s="72">
        <f>1.369-0.278</f>
        <v>1.091</v>
      </c>
      <c r="F69">
        <v>1.4</v>
      </c>
      <c r="G69">
        <v>54.5</v>
      </c>
      <c r="H69">
        <v>0.22</v>
      </c>
      <c r="I69">
        <f t="shared" si="0"/>
        <v>1.369</v>
      </c>
      <c r="J69" s="73">
        <f t="shared" si="1"/>
        <v>0.50412465627864345</v>
      </c>
      <c r="K69" s="73">
        <f t="shared" si="2"/>
        <v>0.4017531044558072</v>
      </c>
      <c r="L69" s="73">
        <f t="shared" si="3"/>
        <v>0.20306793279766255</v>
      </c>
    </row>
    <row r="70" spans="3:12" x14ac:dyDescent="0.2">
      <c r="C70" s="71">
        <v>3.5</v>
      </c>
      <c r="D70">
        <v>0.64200000000000002</v>
      </c>
      <c r="E70" s="72">
        <f>1.46-0.278</f>
        <v>1.1819999999999999</v>
      </c>
      <c r="F70">
        <v>1.6</v>
      </c>
      <c r="G70">
        <v>63.6</v>
      </c>
      <c r="H70">
        <v>0.23</v>
      </c>
      <c r="I70" s="72">
        <f t="shared" si="0"/>
        <v>1.46</v>
      </c>
      <c r="J70" s="73">
        <f t="shared" si="1"/>
        <v>0.54314720812182748</v>
      </c>
      <c r="K70" s="73">
        <f t="shared" si="2"/>
        <v>0.4397260273972603</v>
      </c>
      <c r="L70" s="73">
        <f t="shared" si="3"/>
        <v>0.19041095890410961</v>
      </c>
    </row>
    <row r="71" spans="3:12" x14ac:dyDescent="0.2">
      <c r="C71" s="71">
        <v>4</v>
      </c>
      <c r="D71">
        <v>0.73299999999999998</v>
      </c>
      <c r="E71" s="72">
        <f>1.552-0.278</f>
        <v>1.274</v>
      </c>
      <c r="F71">
        <v>1.8</v>
      </c>
      <c r="G71">
        <v>72.7</v>
      </c>
      <c r="H71">
        <v>0.24</v>
      </c>
      <c r="I71">
        <f t="shared" si="0"/>
        <v>1.552</v>
      </c>
      <c r="J71" s="73">
        <f t="shared" si="1"/>
        <v>0.57535321821036101</v>
      </c>
      <c r="K71" s="73">
        <f t="shared" si="2"/>
        <v>0.47229381443298968</v>
      </c>
      <c r="L71" s="73">
        <f t="shared" si="3"/>
        <v>0.17912371134020619</v>
      </c>
    </row>
    <row r="72" spans="3:12" x14ac:dyDescent="0.2">
      <c r="C72" s="75">
        <v>4.5</v>
      </c>
      <c r="D72">
        <v>0.82499999999999996</v>
      </c>
      <c r="E72" s="72">
        <f>1.644-0.278</f>
        <v>1.3659999999999999</v>
      </c>
      <c r="F72">
        <v>2.1</v>
      </c>
      <c r="G72">
        <v>81.8</v>
      </c>
      <c r="H72">
        <v>0.25</v>
      </c>
      <c r="I72">
        <f t="shared" si="0"/>
        <v>1.6439999999999999</v>
      </c>
      <c r="J72" s="73">
        <f t="shared" si="1"/>
        <v>0.60395314787701315</v>
      </c>
      <c r="K72" s="73">
        <f t="shared" si="2"/>
        <v>0.50182481751824815</v>
      </c>
      <c r="L72" s="73">
        <f t="shared" si="3"/>
        <v>0.16909975669099758</v>
      </c>
    </row>
    <row r="73" spans="3:12" x14ac:dyDescent="0.2">
      <c r="C73" s="71">
        <v>5</v>
      </c>
      <c r="D73">
        <v>0.91700000000000004</v>
      </c>
      <c r="E73" s="72">
        <f>1.735-0.278</f>
        <v>1.4570000000000001</v>
      </c>
      <c r="F73">
        <v>2.2999999999999998</v>
      </c>
      <c r="G73">
        <v>90.9</v>
      </c>
      <c r="H73">
        <v>0.26</v>
      </c>
      <c r="I73">
        <f t="shared" si="0"/>
        <v>1.7350000000000001</v>
      </c>
      <c r="J73" s="73">
        <f t="shared" si="1"/>
        <v>0.62937542896362386</v>
      </c>
      <c r="K73" s="73">
        <f t="shared" si="2"/>
        <v>0.52853025936599418</v>
      </c>
      <c r="L73" s="73">
        <f t="shared" si="3"/>
        <v>0.16023054755043228</v>
      </c>
    </row>
  </sheetData>
  <mergeCells count="8">
    <mergeCell ref="D65:F65"/>
    <mergeCell ref="G66:H66"/>
    <mergeCell ref="D11:E11"/>
    <mergeCell ref="H11:I11"/>
    <mergeCell ref="F12:G12"/>
    <mergeCell ref="H12:I12"/>
    <mergeCell ref="B18:J18"/>
    <mergeCell ref="G20:I20"/>
  </mergeCells>
  <phoneticPr fontId="5" type="noConversion"/>
  <hyperlinks>
    <hyperlink ref="C60" r:id="rId1" display="smcneill@uky.edu"/>
  </hyperlinks>
  <pageMargins left="0.75" right="0.75" top="1" bottom="1" header="0.5" footer="0.5"/>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workbookViewId="0">
      <selection activeCell="M64" sqref="M64"/>
    </sheetView>
  </sheetViews>
  <sheetFormatPr defaultRowHeight="12.75" x14ac:dyDescent="0.2"/>
  <cols>
    <col min="2" max="2" width="9.140625" customWidth="1"/>
  </cols>
  <sheetData>
    <row r="1" spans="3:16" ht="13.5" thickBot="1" x14ac:dyDescent="0.25">
      <c r="C1" s="64" t="s">
        <v>159</v>
      </c>
    </row>
    <row r="2" spans="3:16" x14ac:dyDescent="0.2">
      <c r="C2" s="16" t="s">
        <v>130</v>
      </c>
      <c r="D2" s="303" t="s">
        <v>131</v>
      </c>
      <c r="E2" s="303"/>
      <c r="F2" s="303"/>
      <c r="G2" s="303"/>
      <c r="H2" s="303"/>
      <c r="I2" s="303"/>
      <c r="J2" s="303"/>
      <c r="K2" s="303"/>
      <c r="L2" s="303"/>
      <c r="M2" s="303"/>
      <c r="N2" s="303"/>
      <c r="O2" s="303"/>
      <c r="P2" s="304"/>
    </row>
    <row r="3" spans="3:16" x14ac:dyDescent="0.2">
      <c r="C3" s="138" t="s">
        <v>132</v>
      </c>
      <c r="D3" s="139">
        <v>0.18</v>
      </c>
      <c r="E3" s="140">
        <v>0.19</v>
      </c>
      <c r="F3" s="140">
        <v>0.2</v>
      </c>
      <c r="G3" s="140">
        <v>0.21</v>
      </c>
      <c r="H3" s="140">
        <v>0.22</v>
      </c>
      <c r="I3" s="140">
        <v>0.23</v>
      </c>
      <c r="J3" s="140">
        <v>0.24</v>
      </c>
      <c r="K3" s="140">
        <v>0.25</v>
      </c>
      <c r="L3" s="140">
        <v>0.26</v>
      </c>
      <c r="M3" s="140">
        <v>0.27</v>
      </c>
      <c r="N3" s="140">
        <v>0.28000000000000003</v>
      </c>
      <c r="O3" s="140">
        <v>0.28999999999999998</v>
      </c>
      <c r="P3" s="141">
        <v>0.3</v>
      </c>
    </row>
    <row r="4" spans="3:16" x14ac:dyDescent="0.2">
      <c r="C4" s="142" t="s">
        <v>133</v>
      </c>
      <c r="D4" s="295" t="s">
        <v>134</v>
      </c>
      <c r="E4" s="295"/>
      <c r="F4" s="295"/>
      <c r="G4" s="295"/>
      <c r="H4" s="295"/>
      <c r="I4" s="295"/>
      <c r="J4" s="295"/>
      <c r="K4" s="295"/>
      <c r="L4" s="295"/>
      <c r="M4" s="295"/>
      <c r="N4" s="295"/>
      <c r="O4" s="295"/>
      <c r="P4" s="310"/>
    </row>
    <row r="5" spans="3:16" x14ac:dyDescent="0.2">
      <c r="C5" s="143">
        <v>0.24</v>
      </c>
      <c r="D5" s="144"/>
      <c r="E5" s="144"/>
      <c r="F5" s="144"/>
      <c r="G5" s="144"/>
      <c r="H5" s="144"/>
      <c r="I5" s="144"/>
      <c r="J5" s="144"/>
      <c r="K5" s="144"/>
      <c r="L5" s="145">
        <v>3083</v>
      </c>
      <c r="M5" s="145">
        <v>4543</v>
      </c>
      <c r="N5" s="145">
        <v>6003</v>
      </c>
      <c r="O5" s="145">
        <v>7386</v>
      </c>
      <c r="P5" s="146">
        <v>8769</v>
      </c>
    </row>
    <row r="6" spans="3:16" x14ac:dyDescent="0.2">
      <c r="C6" s="143">
        <v>0.22</v>
      </c>
      <c r="D6" s="144"/>
      <c r="E6" s="144"/>
      <c r="F6" s="144"/>
      <c r="G6" s="144"/>
      <c r="H6" s="144"/>
      <c r="I6" s="144"/>
      <c r="J6" s="145">
        <v>3220</v>
      </c>
      <c r="K6" s="145">
        <v>4717</v>
      </c>
      <c r="L6" s="145">
        <v>6214</v>
      </c>
      <c r="M6" s="145">
        <v>7628</v>
      </c>
      <c r="N6" s="145">
        <v>9042</v>
      </c>
      <c r="O6" s="145">
        <v>10376</v>
      </c>
      <c r="P6" s="146">
        <v>11710</v>
      </c>
    </row>
    <row r="7" spans="3:16" x14ac:dyDescent="0.2">
      <c r="C7" s="143">
        <v>0.2</v>
      </c>
      <c r="D7" s="144"/>
      <c r="E7" s="144"/>
      <c r="F7" s="144"/>
      <c r="G7" s="144"/>
      <c r="H7" s="145">
        <v>3387</v>
      </c>
      <c r="I7" s="145">
        <v>4945</v>
      </c>
      <c r="J7" s="145">
        <v>6502</v>
      </c>
      <c r="K7" s="145">
        <v>7957</v>
      </c>
      <c r="L7" s="145">
        <v>9414</v>
      </c>
      <c r="M7" s="145">
        <v>10779</v>
      </c>
      <c r="N7" s="145">
        <v>12146</v>
      </c>
      <c r="O7" s="145">
        <v>13448</v>
      </c>
      <c r="P7" s="146">
        <v>14745</v>
      </c>
    </row>
    <row r="8" spans="3:16" x14ac:dyDescent="0.2">
      <c r="C8" s="143">
        <v>0.18</v>
      </c>
      <c r="D8" s="144"/>
      <c r="E8" s="144"/>
      <c r="F8" s="145">
        <v>3626</v>
      </c>
      <c r="G8" s="145">
        <v>5259</v>
      </c>
      <c r="H8" s="145">
        <v>6891</v>
      </c>
      <c r="I8" s="145">
        <v>8407</v>
      </c>
      <c r="J8" s="145">
        <v>9922</v>
      </c>
      <c r="K8" s="145">
        <v>11328</v>
      </c>
      <c r="L8" s="145">
        <v>12733</v>
      </c>
      <c r="M8" s="145">
        <v>14061</v>
      </c>
      <c r="N8" s="145">
        <v>15388</v>
      </c>
      <c r="O8" s="145">
        <v>16645</v>
      </c>
      <c r="P8" s="146">
        <v>17901</v>
      </c>
    </row>
    <row r="9" spans="3:16" x14ac:dyDescent="0.2">
      <c r="C9" s="143">
        <v>0.16</v>
      </c>
      <c r="D9" s="145">
        <v>3910</v>
      </c>
      <c r="E9" s="145">
        <v>5665</v>
      </c>
      <c r="F9" s="145">
        <v>7420</v>
      </c>
      <c r="G9" s="145">
        <v>9008</v>
      </c>
      <c r="H9" s="145">
        <v>10596</v>
      </c>
      <c r="I9" s="145">
        <v>12051</v>
      </c>
      <c r="J9" s="145">
        <v>13506</v>
      </c>
      <c r="K9" s="145">
        <v>14874</v>
      </c>
      <c r="L9" s="145">
        <v>16241</v>
      </c>
      <c r="M9" s="145">
        <v>17513</v>
      </c>
      <c r="N9" s="145">
        <v>18784</v>
      </c>
      <c r="O9" s="145">
        <v>19986</v>
      </c>
      <c r="P9" s="146">
        <v>21188</v>
      </c>
    </row>
    <row r="10" spans="3:16" x14ac:dyDescent="0.2">
      <c r="C10" s="147">
        <v>0.155</v>
      </c>
      <c r="D10" s="145">
        <v>4972</v>
      </c>
      <c r="E10" s="145">
        <v>6709</v>
      </c>
      <c r="F10" s="145">
        <v>8445</v>
      </c>
      <c r="G10" s="145">
        <v>10019</v>
      </c>
      <c r="H10" s="145">
        <v>11593</v>
      </c>
      <c r="I10" s="145">
        <v>13035</v>
      </c>
      <c r="J10" s="145">
        <v>14477</v>
      </c>
      <c r="K10" s="145">
        <v>15829</v>
      </c>
      <c r="L10" s="145">
        <v>17180</v>
      </c>
      <c r="M10" s="145">
        <v>18442</v>
      </c>
      <c r="N10" s="145">
        <v>19704</v>
      </c>
      <c r="O10" s="145">
        <v>20894</v>
      </c>
      <c r="P10" s="146">
        <v>22083</v>
      </c>
    </row>
    <row r="11" spans="3:16" x14ac:dyDescent="0.2">
      <c r="C11" s="143">
        <v>0.15</v>
      </c>
      <c r="D11" s="145">
        <v>6033</v>
      </c>
      <c r="E11" s="145">
        <v>7752</v>
      </c>
      <c r="F11" s="145">
        <v>9470</v>
      </c>
      <c r="G11" s="145">
        <v>11030</v>
      </c>
      <c r="H11" s="145">
        <v>12589</v>
      </c>
      <c r="I11" s="145">
        <v>14018</v>
      </c>
      <c r="J11" s="145">
        <v>15447</v>
      </c>
      <c r="K11" s="145">
        <v>16763</v>
      </c>
      <c r="L11" s="145">
        <v>18118</v>
      </c>
      <c r="M11" s="145">
        <v>19371</v>
      </c>
      <c r="N11" s="145">
        <v>20624</v>
      </c>
      <c r="O11" s="145">
        <v>21801</v>
      </c>
      <c r="P11" s="146">
        <v>22978</v>
      </c>
    </row>
    <row r="12" spans="3:16" x14ac:dyDescent="0.2">
      <c r="C12" s="143">
        <v>0.14000000000000001</v>
      </c>
      <c r="D12" s="145">
        <v>8156</v>
      </c>
      <c r="E12" s="145">
        <v>9838</v>
      </c>
      <c r="F12" s="145">
        <v>11519</v>
      </c>
      <c r="G12" s="145">
        <v>13051</v>
      </c>
      <c r="H12" s="145">
        <v>14582</v>
      </c>
      <c r="I12" s="145">
        <v>15985</v>
      </c>
      <c r="J12" s="145">
        <v>17388</v>
      </c>
      <c r="K12" s="145">
        <v>18691</v>
      </c>
      <c r="L12" s="145">
        <v>19994</v>
      </c>
      <c r="M12" s="145">
        <v>21229</v>
      </c>
      <c r="N12" s="145">
        <v>22463</v>
      </c>
      <c r="O12" s="145">
        <v>23616</v>
      </c>
      <c r="P12" s="146">
        <v>24768</v>
      </c>
    </row>
    <row r="13" spans="3:16" x14ac:dyDescent="0.2">
      <c r="C13" s="143">
        <v>0.13</v>
      </c>
      <c r="D13" s="145">
        <v>10479</v>
      </c>
      <c r="E13" s="145">
        <v>12128</v>
      </c>
      <c r="F13" s="145">
        <v>13777</v>
      </c>
      <c r="G13" s="145">
        <v>15276</v>
      </c>
      <c r="H13" s="145">
        <v>16774</v>
      </c>
      <c r="I13" s="145">
        <v>18151</v>
      </c>
      <c r="J13" s="145">
        <v>19528</v>
      </c>
      <c r="K13" s="145">
        <v>20808</v>
      </c>
      <c r="L13" s="145">
        <v>22088</v>
      </c>
      <c r="M13" s="145">
        <v>23288</v>
      </c>
      <c r="N13" s="145">
        <v>24486</v>
      </c>
      <c r="O13" s="145">
        <v>25615</v>
      </c>
      <c r="P13" s="146">
        <v>26744</v>
      </c>
    </row>
    <row r="14" spans="3:16" ht="13.5" thickBot="1" x14ac:dyDescent="0.25">
      <c r="C14" s="148">
        <v>0.12</v>
      </c>
      <c r="D14" s="149">
        <v>12801</v>
      </c>
      <c r="E14" s="149">
        <v>14418</v>
      </c>
      <c r="F14" s="149">
        <v>16034</v>
      </c>
      <c r="G14" s="149">
        <v>17500</v>
      </c>
      <c r="H14" s="149">
        <v>18966</v>
      </c>
      <c r="I14" s="149">
        <v>20317</v>
      </c>
      <c r="J14" s="149">
        <v>21667</v>
      </c>
      <c r="K14" s="149">
        <v>22925</v>
      </c>
      <c r="L14" s="149">
        <v>24182</v>
      </c>
      <c r="M14" s="149">
        <v>25346</v>
      </c>
      <c r="N14" s="149">
        <v>26509</v>
      </c>
      <c r="O14" s="149">
        <v>27614</v>
      </c>
      <c r="P14" s="150">
        <v>28719</v>
      </c>
    </row>
    <row r="15" spans="3:16" x14ac:dyDescent="0.2">
      <c r="C15" t="s">
        <v>135</v>
      </c>
    </row>
    <row r="16" spans="3:16" x14ac:dyDescent="0.2">
      <c r="C16" t="s">
        <v>136</v>
      </c>
    </row>
    <row r="17" spans="3:19" x14ac:dyDescent="0.2">
      <c r="O17" s="71"/>
    </row>
    <row r="18" spans="3:19" ht="13.5" thickBot="1" x14ac:dyDescent="0.25">
      <c r="C18" s="64" t="s">
        <v>160</v>
      </c>
      <c r="L18" s="4" t="s">
        <v>137</v>
      </c>
      <c r="M18" s="151">
        <v>0.15</v>
      </c>
    </row>
    <row r="19" spans="3:19" x14ac:dyDescent="0.2">
      <c r="C19" s="16" t="s">
        <v>130</v>
      </c>
      <c r="D19" s="303" t="s">
        <v>131</v>
      </c>
      <c r="E19" s="303"/>
      <c r="F19" s="303"/>
      <c r="G19" s="303"/>
      <c r="H19" s="303"/>
      <c r="I19" s="303"/>
      <c r="J19" s="303"/>
      <c r="K19" s="303"/>
      <c r="L19" s="303"/>
      <c r="M19" s="303"/>
      <c r="N19" s="303"/>
      <c r="O19" s="303"/>
      <c r="P19" s="304"/>
    </row>
    <row r="20" spans="3:19" x14ac:dyDescent="0.2">
      <c r="C20" s="138" t="s">
        <v>132</v>
      </c>
      <c r="D20" s="139">
        <v>0.18</v>
      </c>
      <c r="E20" s="140">
        <v>0.19</v>
      </c>
      <c r="F20" s="140">
        <v>0.2</v>
      </c>
      <c r="G20" s="140">
        <v>0.21</v>
      </c>
      <c r="H20" s="140">
        <v>0.22</v>
      </c>
      <c r="I20" s="140">
        <v>0.23</v>
      </c>
      <c r="J20" s="140">
        <v>0.24</v>
      </c>
      <c r="K20" s="140">
        <v>0.25</v>
      </c>
      <c r="L20" s="140">
        <v>0.26</v>
      </c>
      <c r="M20" s="140">
        <v>0.27</v>
      </c>
      <c r="N20" s="140">
        <v>0.28000000000000003</v>
      </c>
      <c r="O20" s="140">
        <v>0.28999999999999998</v>
      </c>
      <c r="P20" s="141">
        <v>0.3</v>
      </c>
    </row>
    <row r="21" spans="3:19" x14ac:dyDescent="0.2">
      <c r="C21" s="142" t="s">
        <v>133</v>
      </c>
      <c r="D21" s="295" t="s">
        <v>134</v>
      </c>
      <c r="E21" s="295"/>
      <c r="F21" s="295"/>
      <c r="G21" s="295"/>
      <c r="H21" s="295"/>
      <c r="I21" s="295"/>
      <c r="J21" s="295"/>
      <c r="K21" s="295"/>
      <c r="L21" s="295"/>
      <c r="M21" s="295"/>
      <c r="N21" s="295"/>
      <c r="O21" s="295"/>
      <c r="P21" s="310"/>
    </row>
    <row r="22" spans="3:19" x14ac:dyDescent="0.2">
      <c r="C22" s="143">
        <v>0.24</v>
      </c>
      <c r="D22" s="152"/>
      <c r="E22" s="152"/>
      <c r="F22" s="152"/>
      <c r="G22" s="152"/>
      <c r="H22" s="152"/>
      <c r="I22" s="152"/>
      <c r="J22" s="152"/>
      <c r="K22" s="152"/>
      <c r="L22" s="152">
        <f>56*(1-$M$18)*((L$20/(1-L$20)-$C22/(1-$C22)))</f>
        <v>1.6927453769559051</v>
      </c>
      <c r="M22" s="152">
        <f>56*(1-$M$18)*((M$20/(1-M$20)-$C22/(1-$C22)))</f>
        <v>2.5739005046863759</v>
      </c>
      <c r="N22" s="152">
        <f>56*(1-$M$18)*((N$20/(1-N$20)-$C22/(1-$C22)))</f>
        <v>3.4795321637426939</v>
      </c>
      <c r="O22" s="152">
        <f>56*(1-$M$18)*((O$20/(1-O$20)-$C22/(1-$C22)))</f>
        <v>4.4106745737583406</v>
      </c>
      <c r="P22" s="153">
        <f>56*(1-$M$18)*((P$20/(1-P$20)-$C22/(1-$C22)))</f>
        <v>5.3684210526315814</v>
      </c>
    </row>
    <row r="23" spans="3:19" x14ac:dyDescent="0.2">
      <c r="C23" s="143">
        <v>0.22</v>
      </c>
      <c r="D23" s="152"/>
      <c r="E23" s="152"/>
      <c r="F23" s="152"/>
      <c r="G23" s="152"/>
      <c r="H23" s="152"/>
      <c r="I23" s="152"/>
      <c r="J23" s="152">
        <f t="shared" ref="J23:P23" si="0">56*(1-$M$18)*((J$20/(1-J$20)-$C23/(1-$C23)))</f>
        <v>1.6059379217273948</v>
      </c>
      <c r="K23" s="152">
        <f t="shared" si="0"/>
        <v>2.4410256410256403</v>
      </c>
      <c r="L23" s="152">
        <f t="shared" si="0"/>
        <v>3.2986832986832999</v>
      </c>
      <c r="M23" s="152">
        <f t="shared" si="0"/>
        <v>4.1798384264137711</v>
      </c>
      <c r="N23" s="152">
        <f t="shared" si="0"/>
        <v>5.0854700854700887</v>
      </c>
      <c r="O23" s="152">
        <f t="shared" si="0"/>
        <v>6.0166124954857354</v>
      </c>
      <c r="P23" s="154">
        <f t="shared" si="0"/>
        <v>6.9743589743589762</v>
      </c>
    </row>
    <row r="24" spans="3:19" x14ac:dyDescent="0.2">
      <c r="C24" s="143">
        <v>0.2</v>
      </c>
      <c r="D24" s="152"/>
      <c r="E24" s="152"/>
      <c r="F24" s="152"/>
      <c r="G24" s="152"/>
      <c r="H24" s="152">
        <f t="shared" ref="H24:P24" si="1">56*(1-$M$18)*((H$20/(1-H$20)-$C24/(1-$C24)))</f>
        <v>1.5256410256410255</v>
      </c>
      <c r="I24" s="152">
        <f t="shared" si="1"/>
        <v>2.3181818181818179</v>
      </c>
      <c r="J24" s="152">
        <f t="shared" si="1"/>
        <v>3.1315789473684204</v>
      </c>
      <c r="K24" s="152">
        <f t="shared" si="1"/>
        <v>3.9666666666666659</v>
      </c>
      <c r="L24" s="152">
        <f t="shared" si="1"/>
        <v>4.8243243243243255</v>
      </c>
      <c r="M24" s="152">
        <f t="shared" si="1"/>
        <v>5.7054794520547967</v>
      </c>
      <c r="N24" s="152">
        <f t="shared" si="1"/>
        <v>6.6111111111111143</v>
      </c>
      <c r="O24" s="152">
        <f t="shared" si="1"/>
        <v>7.542253521126761</v>
      </c>
      <c r="P24" s="154">
        <f t="shared" si="1"/>
        <v>8.5000000000000018</v>
      </c>
    </row>
    <row r="25" spans="3:19" x14ac:dyDescent="0.2">
      <c r="C25" s="143">
        <v>0.18</v>
      </c>
      <c r="D25" s="152"/>
      <c r="E25" s="152"/>
      <c r="F25" s="152">
        <f t="shared" ref="D25:P26" si="2">56*(1-$M$18)*((F$20/(1-F$20)-$C25/(1-$C25)))</f>
        <v>1.4512195121951232</v>
      </c>
      <c r="G25" s="152">
        <f t="shared" si="2"/>
        <v>2.2043840691571472</v>
      </c>
      <c r="H25" s="152">
        <f t="shared" si="2"/>
        <v>2.9768605378361488</v>
      </c>
      <c r="I25" s="152">
        <f t="shared" si="2"/>
        <v>3.7694013303769411</v>
      </c>
      <c r="J25" s="152">
        <f t="shared" si="2"/>
        <v>4.582798459563544</v>
      </c>
      <c r="K25" s="152">
        <f t="shared" si="2"/>
        <v>5.4178861788617896</v>
      </c>
      <c r="L25" s="152">
        <f t="shared" si="2"/>
        <v>6.2755438365194482</v>
      </c>
      <c r="M25" s="152">
        <f t="shared" si="2"/>
        <v>7.1566989642499195</v>
      </c>
      <c r="N25" s="152">
        <f t="shared" si="2"/>
        <v>8.062330623306238</v>
      </c>
      <c r="O25" s="152">
        <f t="shared" si="2"/>
        <v>8.9934730333218837</v>
      </c>
      <c r="P25" s="154">
        <f t="shared" si="2"/>
        <v>9.9512195121951255</v>
      </c>
    </row>
    <row r="26" spans="3:19" x14ac:dyDescent="0.2">
      <c r="C26" s="143">
        <v>0.17</v>
      </c>
      <c r="D26" s="152">
        <f t="shared" si="2"/>
        <v>0.69938289744342996</v>
      </c>
      <c r="E26" s="152">
        <f t="shared" si="2"/>
        <v>1.4160345084039847</v>
      </c>
      <c r="F26" s="152">
        <f t="shared" si="2"/>
        <v>2.1506024096385534</v>
      </c>
      <c r="G26" s="152">
        <f t="shared" si="2"/>
        <v>2.9037669666005774</v>
      </c>
      <c r="H26" s="152">
        <f t="shared" si="2"/>
        <v>3.676243435279579</v>
      </c>
      <c r="I26" s="152">
        <f t="shared" si="2"/>
        <v>4.4687842278203709</v>
      </c>
      <c r="J26" s="152">
        <f t="shared" si="2"/>
        <v>5.2821813570069738</v>
      </c>
      <c r="K26" s="152">
        <f t="shared" si="2"/>
        <v>6.1172690763052193</v>
      </c>
      <c r="L26" s="152">
        <f t="shared" si="2"/>
        <v>6.9749267339628789</v>
      </c>
      <c r="M26" s="152">
        <f t="shared" si="2"/>
        <v>7.8560818616933492</v>
      </c>
      <c r="N26" s="152">
        <f t="shared" si="2"/>
        <v>8.7617135207496677</v>
      </c>
      <c r="O26" s="152">
        <f t="shared" si="2"/>
        <v>9.6928559307653153</v>
      </c>
      <c r="P26" s="154">
        <f t="shared" si="2"/>
        <v>10.650602409638555</v>
      </c>
    </row>
    <row r="27" spans="3:19" x14ac:dyDescent="0.2">
      <c r="C27" s="143">
        <v>0.16</v>
      </c>
      <c r="D27" s="152">
        <f t="shared" ref="D27:P32" si="3">56*(1-$M$18)*((D$20/(1-D$20)-$C27/(1-$C27)))</f>
        <v>1.3821138211382094</v>
      </c>
      <c r="E27" s="152">
        <f t="shared" si="3"/>
        <v>2.0987654320987641</v>
      </c>
      <c r="F27" s="152">
        <f t="shared" si="3"/>
        <v>2.8333333333333326</v>
      </c>
      <c r="G27" s="152">
        <f t="shared" si="3"/>
        <v>3.5864978902953566</v>
      </c>
      <c r="H27" s="152">
        <f t="shared" si="3"/>
        <v>4.3589743589743586</v>
      </c>
      <c r="I27" s="152">
        <f t="shared" si="3"/>
        <v>5.1515151515151505</v>
      </c>
      <c r="J27" s="152">
        <f t="shared" si="3"/>
        <v>5.9649122807017525</v>
      </c>
      <c r="K27" s="152">
        <f t="shared" si="3"/>
        <v>6.7999999999999989</v>
      </c>
      <c r="L27" s="152">
        <f t="shared" si="3"/>
        <v>7.6576576576576576</v>
      </c>
      <c r="M27" s="152">
        <f t="shared" si="3"/>
        <v>8.5388127853881297</v>
      </c>
      <c r="N27" s="152">
        <f t="shared" si="3"/>
        <v>9.4444444444444464</v>
      </c>
      <c r="O27" s="152">
        <f t="shared" si="3"/>
        <v>10.375586854460094</v>
      </c>
      <c r="P27" s="154">
        <f t="shared" si="3"/>
        <v>11.333333333333334</v>
      </c>
      <c r="R27" s="210"/>
      <c r="S27" s="64"/>
    </row>
    <row r="28" spans="3:19" x14ac:dyDescent="0.2">
      <c r="C28" s="147">
        <v>0.155</v>
      </c>
      <c r="D28" s="152">
        <f t="shared" si="3"/>
        <v>1.7174195410593149</v>
      </c>
      <c r="E28" s="152">
        <f t="shared" si="3"/>
        <v>2.4340711520198699</v>
      </c>
      <c r="F28" s="152">
        <f t="shared" si="3"/>
        <v>3.1686390532544384</v>
      </c>
      <c r="G28" s="152">
        <f t="shared" si="3"/>
        <v>3.9218036102164624</v>
      </c>
      <c r="H28" s="152">
        <f t="shared" si="3"/>
        <v>4.6942800788954635</v>
      </c>
      <c r="I28" s="152">
        <f t="shared" si="3"/>
        <v>5.4868208714362563</v>
      </c>
      <c r="J28" s="152">
        <f t="shared" si="3"/>
        <v>6.3002180006228583</v>
      </c>
      <c r="K28" s="152">
        <f t="shared" si="3"/>
        <v>7.1353057199211039</v>
      </c>
      <c r="L28" s="152">
        <f t="shared" si="3"/>
        <v>7.9929633775787634</v>
      </c>
      <c r="M28" s="152">
        <f t="shared" si="3"/>
        <v>8.8741185053092355</v>
      </c>
      <c r="N28" s="152">
        <f t="shared" si="3"/>
        <v>9.7797501643655522</v>
      </c>
      <c r="O28" s="152">
        <f t="shared" si="3"/>
        <v>10.7108925743812</v>
      </c>
      <c r="P28" s="154">
        <f t="shared" si="3"/>
        <v>11.66863905325444</v>
      </c>
      <c r="R28" s="210"/>
      <c r="S28" s="64"/>
    </row>
    <row r="29" spans="3:19" x14ac:dyDescent="0.2">
      <c r="C29" s="143">
        <v>0.15</v>
      </c>
      <c r="D29" s="152">
        <f t="shared" si="3"/>
        <v>2.0487804878048763</v>
      </c>
      <c r="E29" s="152">
        <f t="shared" si="3"/>
        <v>2.7654320987654311</v>
      </c>
      <c r="F29" s="152">
        <f t="shared" si="3"/>
        <v>3.4999999999999996</v>
      </c>
      <c r="G29" s="152">
        <f t="shared" si="3"/>
        <v>4.253164556962024</v>
      </c>
      <c r="H29" s="152">
        <f t="shared" si="3"/>
        <v>5.0256410256410255</v>
      </c>
      <c r="I29" s="152">
        <f t="shared" si="3"/>
        <v>5.8181818181818175</v>
      </c>
      <c r="J29" s="152">
        <f t="shared" si="3"/>
        <v>6.6315789473684195</v>
      </c>
      <c r="K29" s="152">
        <f>56*(1-$M$18)*((K$20/(1-K$20)-$C29/(1-$C29)))</f>
        <v>7.4666666666666659</v>
      </c>
      <c r="L29" s="152">
        <f t="shared" si="3"/>
        <v>8.3243243243243246</v>
      </c>
      <c r="M29" s="152">
        <f t="shared" si="3"/>
        <v>9.2054794520547958</v>
      </c>
      <c r="N29" s="152">
        <f t="shared" si="3"/>
        <v>10.111111111111114</v>
      </c>
      <c r="O29" s="152">
        <f t="shared" si="3"/>
        <v>11.04225352112676</v>
      </c>
      <c r="P29" s="154">
        <f t="shared" si="3"/>
        <v>12</v>
      </c>
      <c r="R29" s="180"/>
      <c r="S29" s="64"/>
    </row>
    <row r="30" spans="3:19" x14ac:dyDescent="0.2">
      <c r="C30" s="143">
        <v>0.14000000000000001</v>
      </c>
      <c r="D30" s="152">
        <f t="shared" si="3"/>
        <v>2.6999432785025506</v>
      </c>
      <c r="E30" s="152">
        <f t="shared" si="3"/>
        <v>3.4165948894631053</v>
      </c>
      <c r="F30" s="152">
        <f t="shared" si="3"/>
        <v>4.1511627906976738</v>
      </c>
      <c r="G30" s="152">
        <f t="shared" si="3"/>
        <v>4.9043273476596978</v>
      </c>
      <c r="H30" s="152">
        <f t="shared" si="3"/>
        <v>5.6768038163386993</v>
      </c>
      <c r="I30" s="152">
        <f t="shared" si="3"/>
        <v>6.4693446088794913</v>
      </c>
      <c r="J30" s="152">
        <f t="shared" si="3"/>
        <v>7.2827417380660942</v>
      </c>
      <c r="K30" s="152">
        <f t="shared" si="3"/>
        <v>8.1178294573643406</v>
      </c>
      <c r="L30" s="152">
        <f t="shared" si="3"/>
        <v>8.9754871150220001</v>
      </c>
      <c r="M30" s="152">
        <f t="shared" si="3"/>
        <v>9.8566422427524696</v>
      </c>
      <c r="N30" s="152">
        <f t="shared" si="3"/>
        <v>10.762273901808788</v>
      </c>
      <c r="O30" s="152">
        <f t="shared" si="3"/>
        <v>11.693416311824436</v>
      </c>
      <c r="P30" s="154">
        <f t="shared" si="3"/>
        <v>12.651162790697676</v>
      </c>
      <c r="R30" s="210"/>
      <c r="S30" s="64"/>
    </row>
    <row r="31" spans="3:19" x14ac:dyDescent="0.2">
      <c r="C31" s="143">
        <v>0.13</v>
      </c>
      <c r="D31" s="152">
        <f t="shared" si="3"/>
        <v>3.3361368096439565</v>
      </c>
      <c r="E31" s="152">
        <f t="shared" si="3"/>
        <v>4.0527884206045117</v>
      </c>
      <c r="F31" s="152">
        <f t="shared" si="3"/>
        <v>4.7873563218390798</v>
      </c>
      <c r="G31" s="152">
        <f t="shared" si="3"/>
        <v>5.5405208788011038</v>
      </c>
      <c r="H31" s="152">
        <f t="shared" si="3"/>
        <v>6.3129973474801053</v>
      </c>
      <c r="I31" s="152">
        <f t="shared" si="3"/>
        <v>7.1055381400208981</v>
      </c>
      <c r="J31" s="152">
        <f t="shared" si="3"/>
        <v>7.9189352692075001</v>
      </c>
      <c r="K31" s="152">
        <f t="shared" si="3"/>
        <v>8.7540229885057457</v>
      </c>
      <c r="L31" s="152">
        <f t="shared" si="3"/>
        <v>9.6116806461634052</v>
      </c>
      <c r="M31" s="152">
        <f t="shared" si="3"/>
        <v>10.492835773893876</v>
      </c>
      <c r="N31" s="152">
        <f t="shared" si="3"/>
        <v>11.398467432950195</v>
      </c>
      <c r="O31" s="152">
        <f t="shared" si="3"/>
        <v>12.329609842965841</v>
      </c>
      <c r="P31" s="154">
        <f t="shared" si="3"/>
        <v>13.287356321839081</v>
      </c>
    </row>
    <row r="32" spans="3:19" ht="13.5" thickBot="1" x14ac:dyDescent="0.25">
      <c r="C32" s="148">
        <v>0.12</v>
      </c>
      <c r="D32" s="155">
        <f t="shared" si="3"/>
        <v>3.9578713968957864</v>
      </c>
      <c r="E32" s="156">
        <f t="shared" si="3"/>
        <v>4.6745230078563411</v>
      </c>
      <c r="F32" s="156">
        <f t="shared" si="3"/>
        <v>5.4090909090909101</v>
      </c>
      <c r="G32" s="156">
        <f t="shared" si="3"/>
        <v>6.1622554660529341</v>
      </c>
      <c r="H32" s="156">
        <f t="shared" si="3"/>
        <v>6.9347319347319356</v>
      </c>
      <c r="I32" s="156">
        <f t="shared" si="3"/>
        <v>7.7272727272727275</v>
      </c>
      <c r="J32" s="156">
        <f t="shared" si="3"/>
        <v>8.5406698564593295</v>
      </c>
      <c r="K32" s="156">
        <f t="shared" si="3"/>
        <v>9.3757575757575751</v>
      </c>
      <c r="L32" s="156">
        <f t="shared" si="3"/>
        <v>10.233415233415235</v>
      </c>
      <c r="M32" s="156">
        <f t="shared" si="3"/>
        <v>11.114570361145706</v>
      </c>
      <c r="N32" s="156">
        <f t="shared" si="3"/>
        <v>12.020202020202024</v>
      </c>
      <c r="O32" s="156">
        <f t="shared" si="3"/>
        <v>12.951344430217672</v>
      </c>
      <c r="P32" s="157">
        <f t="shared" si="3"/>
        <v>13.909090909090912</v>
      </c>
    </row>
    <row r="34" spans="1:21" ht="13.5" thickBot="1" x14ac:dyDescent="0.25">
      <c r="C34" s="64" t="s">
        <v>161</v>
      </c>
      <c r="L34" s="4" t="s">
        <v>137</v>
      </c>
      <c r="M34" s="151">
        <v>0.15</v>
      </c>
    </row>
    <row r="35" spans="1:21" x14ac:dyDescent="0.2">
      <c r="C35" s="16" t="s">
        <v>130</v>
      </c>
      <c r="D35" s="303" t="s">
        <v>131</v>
      </c>
      <c r="E35" s="303"/>
      <c r="F35" s="303"/>
      <c r="G35" s="303"/>
      <c r="H35" s="303"/>
      <c r="I35" s="303"/>
      <c r="J35" s="303"/>
      <c r="K35" s="303"/>
      <c r="L35" s="303"/>
      <c r="M35" s="303"/>
      <c r="N35" s="303"/>
      <c r="O35" s="303"/>
      <c r="P35" s="304"/>
    </row>
    <row r="36" spans="1:21" x14ac:dyDescent="0.2">
      <c r="A36" s="158"/>
      <c r="B36" s="159">
        <f>C36-1/100</f>
        <v>0.15999999999999998</v>
      </c>
      <c r="C36" s="143">
        <f>D36-1/100</f>
        <v>0.16999999999999998</v>
      </c>
      <c r="D36" s="139">
        <v>0.18</v>
      </c>
      <c r="E36" s="140">
        <v>0.19</v>
      </c>
      <c r="F36" s="140">
        <v>0.2</v>
      </c>
      <c r="G36" s="140">
        <v>0.21</v>
      </c>
      <c r="H36" s="140">
        <v>0.22</v>
      </c>
      <c r="I36" s="140">
        <v>0.23</v>
      </c>
      <c r="J36" s="140">
        <v>0.24</v>
      </c>
      <c r="K36" s="140">
        <v>0.25</v>
      </c>
      <c r="L36" s="140">
        <v>0.26</v>
      </c>
      <c r="M36" s="140">
        <v>0.27</v>
      </c>
      <c r="N36" s="140">
        <v>0.28000000000000003</v>
      </c>
      <c r="O36" s="140">
        <v>0.28999999999999998</v>
      </c>
      <c r="P36" s="141">
        <v>0.3</v>
      </c>
      <c r="Q36" s="160">
        <f>P36+1/100</f>
        <v>0.31</v>
      </c>
      <c r="R36" s="160">
        <f>Q36+1/100</f>
        <v>0.32</v>
      </c>
    </row>
    <row r="37" spans="1:21" x14ac:dyDescent="0.2">
      <c r="C37" s="142" t="s">
        <v>133</v>
      </c>
      <c r="D37" s="295" t="s">
        <v>134</v>
      </c>
      <c r="E37" s="295"/>
      <c r="F37" s="295"/>
      <c r="G37" s="295"/>
      <c r="H37" s="295"/>
      <c r="I37" s="295"/>
      <c r="J37" s="295"/>
      <c r="K37" s="295"/>
      <c r="L37" s="295"/>
      <c r="M37" s="295"/>
      <c r="N37" s="295"/>
      <c r="O37" s="295"/>
      <c r="P37" s="310"/>
    </row>
    <row r="38" spans="1:21" x14ac:dyDescent="0.2">
      <c r="C38" s="143">
        <v>0.24</v>
      </c>
      <c r="D38" s="152"/>
      <c r="E38" s="152"/>
      <c r="F38" s="152"/>
      <c r="G38" s="152"/>
      <c r="H38" s="152"/>
      <c r="I38" s="152"/>
      <c r="J38" s="152"/>
      <c r="K38" s="152"/>
      <c r="L38" s="145">
        <f>L5/L22</f>
        <v>1821.3016806722669</v>
      </c>
      <c r="M38" s="145">
        <f>M5/M22</f>
        <v>1765.0254901960768</v>
      </c>
      <c r="N38" s="145">
        <f>N5/N22</f>
        <v>1725.2319327731072</v>
      </c>
      <c r="O38" s="145">
        <f>O5/O22</f>
        <v>1674.5737815126047</v>
      </c>
      <c r="P38" s="161">
        <f>P5/P22</f>
        <v>1633.4411764705874</v>
      </c>
    </row>
    <row r="39" spans="1:21" x14ac:dyDescent="0.2">
      <c r="C39" s="143">
        <v>0.22</v>
      </c>
      <c r="D39" s="152"/>
      <c r="E39" s="152"/>
      <c r="F39" s="152"/>
      <c r="G39" s="152"/>
      <c r="H39" s="152"/>
      <c r="I39" s="152"/>
      <c r="J39" s="145">
        <f t="shared" ref="J39:P39" si="4">J6/J23</f>
        <v>2005.0588235294126</v>
      </c>
      <c r="K39" s="145">
        <f t="shared" si="4"/>
        <v>1932.3844537815132</v>
      </c>
      <c r="L39" s="145">
        <f t="shared" si="4"/>
        <v>1883.7819327731086</v>
      </c>
      <c r="M39" s="145">
        <f t="shared" si="4"/>
        <v>1824.9509243697469</v>
      </c>
      <c r="N39" s="145">
        <f t="shared" si="4"/>
        <v>1778.0067226890744</v>
      </c>
      <c r="O39" s="145">
        <f t="shared" si="4"/>
        <v>1724.5584633853541</v>
      </c>
      <c r="P39" s="146">
        <f t="shared" si="4"/>
        <v>1679.0073529411761</v>
      </c>
    </row>
    <row r="40" spans="1:21" x14ac:dyDescent="0.2">
      <c r="C40" s="143">
        <v>0.2</v>
      </c>
      <c r="D40" s="152"/>
      <c r="E40" s="152"/>
      <c r="F40" s="152"/>
      <c r="G40" s="152"/>
      <c r="H40" s="145">
        <f t="shared" ref="H40:P40" si="5">H7/H24</f>
        <v>2220.0504201680674</v>
      </c>
      <c r="I40" s="145">
        <f t="shared" si="5"/>
        <v>2133.1372549019611</v>
      </c>
      <c r="J40" s="145">
        <f t="shared" si="5"/>
        <v>2076.2689075630256</v>
      </c>
      <c r="K40" s="145">
        <f t="shared" si="5"/>
        <v>2005.9663865546222</v>
      </c>
      <c r="L40" s="145">
        <f t="shared" si="5"/>
        <v>1951.3613445378146</v>
      </c>
      <c r="M40" s="145">
        <f t="shared" si="5"/>
        <v>1889.2364945978384</v>
      </c>
      <c r="N40" s="145">
        <f t="shared" si="5"/>
        <v>1837.2100840336125</v>
      </c>
      <c r="O40" s="145">
        <f t="shared" si="5"/>
        <v>1783.0214752567692</v>
      </c>
      <c r="P40" s="146">
        <f t="shared" si="5"/>
        <v>1734.7058823529408</v>
      </c>
    </row>
    <row r="41" spans="1:21" x14ac:dyDescent="0.2">
      <c r="C41" s="143">
        <v>0.18</v>
      </c>
      <c r="D41" s="152"/>
      <c r="E41" s="152"/>
      <c r="F41" s="145">
        <f t="shared" ref="F41:P41" si="6">F8/F25</f>
        <v>2498.5882352941153</v>
      </c>
      <c r="G41" s="145">
        <f t="shared" si="6"/>
        <v>2385.7004201680675</v>
      </c>
      <c r="H41" s="145">
        <f t="shared" si="6"/>
        <v>2314.854831932772</v>
      </c>
      <c r="I41" s="145">
        <f t="shared" si="6"/>
        <v>2230.327647058823</v>
      </c>
      <c r="J41" s="145">
        <f t="shared" si="6"/>
        <v>2165.0526610644251</v>
      </c>
      <c r="K41" s="145">
        <f t="shared" si="6"/>
        <v>2090.8523409363743</v>
      </c>
      <c r="L41" s="145">
        <f t="shared" si="6"/>
        <v>2028.9874999999993</v>
      </c>
      <c r="M41" s="145">
        <f t="shared" si="6"/>
        <v>1964.7326330532205</v>
      </c>
      <c r="N41" s="145">
        <f t="shared" si="6"/>
        <v>1908.6292436974779</v>
      </c>
      <c r="O41" s="145">
        <f t="shared" si="6"/>
        <v>1850.7866692131395</v>
      </c>
      <c r="P41" s="146">
        <f t="shared" si="6"/>
        <v>1798.8749999999993</v>
      </c>
    </row>
    <row r="42" spans="1:21" x14ac:dyDescent="0.2">
      <c r="C42" s="143">
        <v>0.16</v>
      </c>
      <c r="D42" s="145">
        <f t="shared" ref="D42:P42" si="7">D9/D27</f>
        <v>2829.0000000000041</v>
      </c>
      <c r="E42" s="145">
        <f t="shared" si="7"/>
        <v>2699.2058823529428</v>
      </c>
      <c r="F42" s="145">
        <f t="shared" si="7"/>
        <v>2618.8235294117653</v>
      </c>
      <c r="G42" s="145">
        <f t="shared" si="7"/>
        <v>2511.6423529411777</v>
      </c>
      <c r="H42" s="145">
        <f t="shared" si="7"/>
        <v>2430.8470588235296</v>
      </c>
      <c r="I42" s="145">
        <f t="shared" si="7"/>
        <v>2339.311764705883</v>
      </c>
      <c r="J42" s="145">
        <f t="shared" si="7"/>
        <v>2264.2411764705889</v>
      </c>
      <c r="K42" s="145">
        <f t="shared" si="7"/>
        <v>2187.3529411764707</v>
      </c>
      <c r="L42" s="145">
        <f t="shared" si="7"/>
        <v>2120.8835294117648</v>
      </c>
      <c r="M42" s="145">
        <f t="shared" si="7"/>
        <v>2050.9877005347589</v>
      </c>
      <c r="N42" s="145">
        <f t="shared" si="7"/>
        <v>1988.8941176470585</v>
      </c>
      <c r="O42" s="145">
        <f t="shared" si="7"/>
        <v>1926.2524886877827</v>
      </c>
      <c r="P42" s="146">
        <f t="shared" si="7"/>
        <v>1869.5294117647059</v>
      </c>
    </row>
    <row r="43" spans="1:21" x14ac:dyDescent="0.2">
      <c r="C43" s="147">
        <v>0.155</v>
      </c>
      <c r="D43" s="145">
        <f t="shared" ref="D43:P43" si="8">D10/D28</f>
        <v>2895.0410084033629</v>
      </c>
      <c r="E43" s="145">
        <f t="shared" si="8"/>
        <v>2756.2875450180072</v>
      </c>
      <c r="F43" s="145">
        <f t="shared" si="8"/>
        <v>2665.1820728291314</v>
      </c>
      <c r="G43" s="145">
        <f t="shared" si="8"/>
        <v>2554.6919213139809</v>
      </c>
      <c r="H43" s="145">
        <f t="shared" si="8"/>
        <v>2469.6012605042015</v>
      </c>
      <c r="I43" s="145">
        <f t="shared" si="8"/>
        <v>2375.6926470588232</v>
      </c>
      <c r="J43" s="145">
        <f t="shared" si="8"/>
        <v>2297.8569945625313</v>
      </c>
      <c r="K43" s="145">
        <f t="shared" si="8"/>
        <v>2218.4052963290583</v>
      </c>
      <c r="L43" s="145">
        <f t="shared" si="8"/>
        <v>2149.3905562224886</v>
      </c>
      <c r="M43" s="145">
        <f t="shared" si="8"/>
        <v>2078.1782426013879</v>
      </c>
      <c r="N43" s="145">
        <f t="shared" si="8"/>
        <v>2014.7753949579826</v>
      </c>
      <c r="O43" s="145">
        <f t="shared" si="8"/>
        <v>1950.7244475568002</v>
      </c>
      <c r="P43" s="146">
        <f t="shared" si="8"/>
        <v>1892.5086206896549</v>
      </c>
    </row>
    <row r="44" spans="1:21" x14ac:dyDescent="0.2">
      <c r="C44" s="143">
        <v>0.15</v>
      </c>
      <c r="D44" s="145">
        <f t="shared" ref="D44:P44" si="9">D11/D29</f>
        <v>2944.6785714285738</v>
      </c>
      <c r="E44" s="145">
        <f t="shared" si="9"/>
        <v>2803.1785714285725</v>
      </c>
      <c r="F44" s="145">
        <f t="shared" si="9"/>
        <v>2705.7142857142862</v>
      </c>
      <c r="G44" s="145">
        <f t="shared" si="9"/>
        <v>2593.3630952380959</v>
      </c>
      <c r="H44" s="145">
        <f t="shared" si="9"/>
        <v>2504.954081632653</v>
      </c>
      <c r="I44" s="145">
        <f t="shared" si="9"/>
        <v>2409.3437500000005</v>
      </c>
      <c r="J44" s="145">
        <f t="shared" si="9"/>
        <v>2329.3095238095243</v>
      </c>
      <c r="K44" s="145">
        <f t="shared" si="9"/>
        <v>2245.0446428571431</v>
      </c>
      <c r="L44" s="145">
        <f t="shared" si="9"/>
        <v>2176.5129870129867</v>
      </c>
      <c r="M44" s="145">
        <f t="shared" si="9"/>
        <v>2104.2901785714284</v>
      </c>
      <c r="N44" s="145">
        <f t="shared" si="9"/>
        <v>2039.736263736263</v>
      </c>
      <c r="O44" s="145">
        <f t="shared" si="9"/>
        <v>1974.325255102041</v>
      </c>
      <c r="P44" s="146">
        <f t="shared" si="9"/>
        <v>1914.8333333333333</v>
      </c>
    </row>
    <row r="45" spans="1:21" x14ac:dyDescent="0.2">
      <c r="C45" s="143">
        <v>0.14000000000000001</v>
      </c>
      <c r="D45" s="145">
        <f t="shared" ref="D45:P45" si="10">D12/D30</f>
        <v>3020.8042016806744</v>
      </c>
      <c r="E45" s="145">
        <f t="shared" si="10"/>
        <v>2879.4751260504213</v>
      </c>
      <c r="F45" s="145">
        <f t="shared" si="10"/>
        <v>2774.8851540616251</v>
      </c>
      <c r="G45" s="145">
        <f t="shared" si="10"/>
        <v>2661.119267707084</v>
      </c>
      <c r="H45" s="145">
        <f t="shared" si="10"/>
        <v>2568.6989495798321</v>
      </c>
      <c r="I45" s="145">
        <f t="shared" si="10"/>
        <v>2470.8839869281051</v>
      </c>
      <c r="J45" s="145">
        <f t="shared" si="10"/>
        <v>2387.5623529411769</v>
      </c>
      <c r="K45" s="145">
        <f t="shared" si="10"/>
        <v>2302.4627578304048</v>
      </c>
      <c r="L45" s="145">
        <f t="shared" si="10"/>
        <v>2227.6228291316525</v>
      </c>
      <c r="M45" s="145">
        <f t="shared" si="10"/>
        <v>2153.7760504201678</v>
      </c>
      <c r="N45" s="145">
        <f t="shared" si="10"/>
        <v>2087.1983193277306</v>
      </c>
      <c r="O45" s="145">
        <f t="shared" si="10"/>
        <v>2019.5979831932773</v>
      </c>
      <c r="P45" s="146">
        <f t="shared" si="10"/>
        <v>1957.7647058823527</v>
      </c>
    </row>
    <row r="46" spans="1:21" x14ac:dyDescent="0.2">
      <c r="C46" s="143">
        <v>0.13</v>
      </c>
      <c r="D46" s="145">
        <f t="shared" ref="D46:P46" si="11">D13/D31</f>
        <v>3141.0582352941196</v>
      </c>
      <c r="E46" s="145">
        <f t="shared" si="11"/>
        <v>2992.5075630252109</v>
      </c>
      <c r="F46" s="145">
        <f t="shared" si="11"/>
        <v>2877.7887154861951</v>
      </c>
      <c r="G46" s="145">
        <f t="shared" si="11"/>
        <v>2757.1414915966398</v>
      </c>
      <c r="H46" s="145">
        <f t="shared" si="11"/>
        <v>2657.0579831932778</v>
      </c>
      <c r="I46" s="145">
        <f t="shared" si="11"/>
        <v>2554.4863235294119</v>
      </c>
      <c r="J46" s="145">
        <f t="shared" si="11"/>
        <v>2465.9880825057298</v>
      </c>
      <c r="K46" s="145">
        <f t="shared" si="11"/>
        <v>2376.9642857142862</v>
      </c>
      <c r="L46" s="145">
        <f t="shared" si="11"/>
        <v>2298.0372333548803</v>
      </c>
      <c r="M46" s="145">
        <f t="shared" si="11"/>
        <v>2219.4190876350535</v>
      </c>
      <c r="N46" s="145">
        <f t="shared" si="11"/>
        <v>2148.1835294117641</v>
      </c>
      <c r="O46" s="145">
        <f t="shared" si="11"/>
        <v>2077.5191045168067</v>
      </c>
      <c r="P46" s="146">
        <f t="shared" si="11"/>
        <v>2012.7404844290656</v>
      </c>
    </row>
    <row r="47" spans="1:21" ht="18" thickBot="1" x14ac:dyDescent="0.3">
      <c r="C47" s="148">
        <v>0.12</v>
      </c>
      <c r="D47" s="162">
        <f t="shared" ref="D47:P47" si="12">D14/D32</f>
        <v>3234.3142857142861</v>
      </c>
      <c r="E47" s="149">
        <f t="shared" si="12"/>
        <v>3084.3788715486194</v>
      </c>
      <c r="F47" s="149">
        <f t="shared" si="12"/>
        <v>2964.2689075630246</v>
      </c>
      <c r="G47" s="149">
        <f t="shared" si="12"/>
        <v>2839.8692810457519</v>
      </c>
      <c r="H47" s="149">
        <f t="shared" si="12"/>
        <v>2734.9290756302516</v>
      </c>
      <c r="I47" s="149">
        <f t="shared" si="12"/>
        <v>2629.2588235294115</v>
      </c>
      <c r="J47" s="149">
        <f t="shared" si="12"/>
        <v>2536.9204481792717</v>
      </c>
      <c r="K47" s="149">
        <f t="shared" si="12"/>
        <v>2445.135746606335</v>
      </c>
      <c r="L47" s="149">
        <f t="shared" si="12"/>
        <v>2363.0429771908762</v>
      </c>
      <c r="M47" s="149">
        <f t="shared" si="12"/>
        <v>2280.4300280112038</v>
      </c>
      <c r="N47" s="149">
        <f t="shared" si="12"/>
        <v>2205.3705882352933</v>
      </c>
      <c r="O47" s="149">
        <f t="shared" si="12"/>
        <v>2132.1338606030645</v>
      </c>
      <c r="P47" s="150">
        <f t="shared" si="12"/>
        <v>2064.7647058823527</v>
      </c>
      <c r="R47" t="s">
        <v>138</v>
      </c>
      <c r="U47" s="163" t="s">
        <v>139</v>
      </c>
    </row>
    <row r="48" spans="1:21" x14ac:dyDescent="0.2">
      <c r="A48" s="4" t="s">
        <v>140</v>
      </c>
      <c r="B48" s="164">
        <f t="shared" ref="B48:R48" si="13">B36*(27634*B36-21658)+5932.4</f>
        <v>3174.5503999999996</v>
      </c>
      <c r="C48" s="164">
        <f t="shared" si="13"/>
        <v>3049.1625999999997</v>
      </c>
      <c r="D48" s="164">
        <f t="shared" si="13"/>
        <v>2929.3015999999998</v>
      </c>
      <c r="E48" s="164">
        <f t="shared" si="13"/>
        <v>2814.9673999999995</v>
      </c>
      <c r="F48" s="164">
        <f t="shared" si="13"/>
        <v>2706.1599999999994</v>
      </c>
      <c r="G48" s="164">
        <f t="shared" si="13"/>
        <v>2602.8793999999998</v>
      </c>
      <c r="H48" s="164">
        <f t="shared" si="13"/>
        <v>2505.1255999999994</v>
      </c>
      <c r="I48" s="164">
        <f t="shared" si="13"/>
        <v>2412.8985999999995</v>
      </c>
      <c r="J48" s="164">
        <f t="shared" si="13"/>
        <v>2326.1983999999998</v>
      </c>
      <c r="K48" s="164">
        <f t="shared" si="13"/>
        <v>2245.0249999999996</v>
      </c>
      <c r="L48" s="164">
        <f t="shared" si="13"/>
        <v>2169.3783999999996</v>
      </c>
      <c r="M48" s="164">
        <f t="shared" si="13"/>
        <v>2099.2585999999997</v>
      </c>
      <c r="N48" s="164">
        <f t="shared" si="13"/>
        <v>2034.6655999999994</v>
      </c>
      <c r="O48" s="164">
        <f t="shared" si="13"/>
        <v>1975.5994000000001</v>
      </c>
      <c r="P48" s="164">
        <f t="shared" si="13"/>
        <v>1922.0599999999995</v>
      </c>
      <c r="Q48" s="165">
        <f t="shared" si="13"/>
        <v>1874.0473999999995</v>
      </c>
      <c r="R48" s="165">
        <f t="shared" si="13"/>
        <v>1831.5616</v>
      </c>
      <c r="U48" s="166">
        <v>0.99950000000000006</v>
      </c>
    </row>
    <row r="49" spans="1:18" x14ac:dyDescent="0.2">
      <c r="D49" s="167">
        <f t="shared" ref="D49:P49" si="14">D48-D44</f>
        <v>-15.376971428574052</v>
      </c>
      <c r="E49" s="167">
        <f t="shared" si="14"/>
        <v>11.788828571427075</v>
      </c>
      <c r="F49" s="167">
        <f t="shared" si="14"/>
        <v>0.44571428571316574</v>
      </c>
      <c r="G49" s="167">
        <f t="shared" si="14"/>
        <v>9.5163047619039389</v>
      </c>
      <c r="H49" s="167">
        <f t="shared" si="14"/>
        <v>0.17151836734637982</v>
      </c>
      <c r="I49" s="167">
        <f t="shared" si="14"/>
        <v>3.5548499999990781</v>
      </c>
      <c r="J49" s="167">
        <f t="shared" si="14"/>
        <v>-3.1111238095245426</v>
      </c>
      <c r="K49" s="167">
        <f t="shared" si="14"/>
        <v>-1.9642857143480796E-2</v>
      </c>
      <c r="L49" s="167">
        <f t="shared" si="14"/>
        <v>-7.13458701298714</v>
      </c>
      <c r="M49" s="167">
        <f t="shared" si="14"/>
        <v>-5.0315785714287813</v>
      </c>
      <c r="N49" s="167">
        <f t="shared" si="14"/>
        <v>-5.0706637362636684</v>
      </c>
      <c r="O49" s="167">
        <f t="shared" si="14"/>
        <v>1.2741448979591041</v>
      </c>
      <c r="P49" s="167">
        <f t="shared" si="14"/>
        <v>7.2266666666662331</v>
      </c>
    </row>
    <row r="50" spans="1:18" x14ac:dyDescent="0.2">
      <c r="A50" s="4" t="s">
        <v>141</v>
      </c>
      <c r="B50" s="110">
        <f>B36*(-135071*B36^2+124885*B36-44660)+7718.6</f>
        <v>3216.8051840000007</v>
      </c>
      <c r="C50" s="110">
        <f>C36*(-135071*C36^2+124885*C36-44660)+7718.6</f>
        <v>3071.9726770000007</v>
      </c>
      <c r="D50" s="110">
        <f t="shared" ref="D50:R50" si="15">D36*(-135071*D36^2+124885*D36-44660)+7718.6</f>
        <v>2938.3399280000003</v>
      </c>
      <c r="E50" s="110">
        <f t="shared" si="15"/>
        <v>2815.0965110000006</v>
      </c>
      <c r="F50" s="110">
        <f t="shared" si="15"/>
        <v>2701.4319999999998</v>
      </c>
      <c r="G50" s="110">
        <f t="shared" si="15"/>
        <v>2596.5359690000005</v>
      </c>
      <c r="H50" s="110">
        <f t="shared" si="15"/>
        <v>2499.5979920000009</v>
      </c>
      <c r="I50" s="110">
        <f t="shared" si="15"/>
        <v>2409.807643000001</v>
      </c>
      <c r="J50" s="110">
        <f t="shared" si="15"/>
        <v>2326.3544959999999</v>
      </c>
      <c r="K50" s="110">
        <f t="shared" si="15"/>
        <v>2248.4281250000004</v>
      </c>
      <c r="L50" s="110">
        <f t="shared" si="15"/>
        <v>2175.2181040000005</v>
      </c>
      <c r="M50" s="110">
        <f t="shared" si="15"/>
        <v>2105.9140070000003</v>
      </c>
      <c r="N50" s="110">
        <f t="shared" si="15"/>
        <v>2039.7054079999998</v>
      </c>
      <c r="O50" s="110">
        <f t="shared" si="15"/>
        <v>1975.781880999999</v>
      </c>
      <c r="P50" s="110">
        <f t="shared" si="15"/>
        <v>1913.3330000000005</v>
      </c>
      <c r="Q50" s="110">
        <f t="shared" si="15"/>
        <v>1851.5483389999999</v>
      </c>
      <c r="R50" s="110">
        <f t="shared" si="15"/>
        <v>1789.6174720000008</v>
      </c>
    </row>
    <row r="51" spans="1:18" x14ac:dyDescent="0.2">
      <c r="D51" s="167">
        <f>D50-D44</f>
        <v>-6.3386434285735049</v>
      </c>
      <c r="E51" s="167">
        <f t="shared" ref="E51:P51" si="16">E50-E44</f>
        <v>11.917939571428178</v>
      </c>
      <c r="F51" s="167">
        <f t="shared" si="16"/>
        <v>-4.282285714286445</v>
      </c>
      <c r="G51" s="167">
        <f t="shared" si="16"/>
        <v>3.1728737619046115</v>
      </c>
      <c r="H51" s="167">
        <f t="shared" si="16"/>
        <v>-5.3560896326521288</v>
      </c>
      <c r="I51" s="167">
        <f t="shared" si="16"/>
        <v>0.463893000000553</v>
      </c>
      <c r="J51" s="167">
        <f t="shared" si="16"/>
        <v>-2.9550278095243812</v>
      </c>
      <c r="K51" s="167">
        <f t="shared" si="16"/>
        <v>3.3834821428572468</v>
      </c>
      <c r="L51" s="167">
        <f t="shared" si="16"/>
        <v>-1.2948830129862472</v>
      </c>
      <c r="M51" s="167">
        <f t="shared" si="16"/>
        <v>1.6238284285718692</v>
      </c>
      <c r="N51" s="167">
        <f t="shared" si="16"/>
        <v>-3.0855736263220024E-2</v>
      </c>
      <c r="O51" s="167">
        <f t="shared" si="16"/>
        <v>1.4566258979580198</v>
      </c>
      <c r="P51" s="167">
        <f t="shared" si="16"/>
        <v>-1.5003333333327191</v>
      </c>
    </row>
    <row r="75" spans="3:3" x14ac:dyDescent="0.2">
      <c r="C75" s="168"/>
    </row>
  </sheetData>
  <mergeCells count="6">
    <mergeCell ref="D37:P37"/>
    <mergeCell ref="D2:P2"/>
    <mergeCell ref="D4:P4"/>
    <mergeCell ref="D19:P19"/>
    <mergeCell ref="D21:P21"/>
    <mergeCell ref="D35:P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237" t="s">
        <v>184</v>
      </c>
      <c r="C1" s="237"/>
      <c r="D1" s="244"/>
      <c r="E1" s="244"/>
      <c r="F1" s="244"/>
    </row>
    <row r="2" spans="2:6" x14ac:dyDescent="0.2">
      <c r="B2" s="237" t="s">
        <v>185</v>
      </c>
      <c r="C2" s="237"/>
      <c r="D2" s="244"/>
      <c r="E2" s="244"/>
      <c r="F2" s="244"/>
    </row>
    <row r="3" spans="2:6" x14ac:dyDescent="0.2">
      <c r="B3" s="238"/>
      <c r="C3" s="238"/>
      <c r="D3" s="245"/>
      <c r="E3" s="245"/>
      <c r="F3" s="245"/>
    </row>
    <row r="4" spans="2:6" ht="51" x14ac:dyDescent="0.2">
      <c r="B4" s="238" t="s">
        <v>186</v>
      </c>
      <c r="C4" s="238"/>
      <c r="D4" s="245"/>
      <c r="E4" s="245"/>
      <c r="F4" s="245"/>
    </row>
    <row r="5" spans="2:6" x14ac:dyDescent="0.2">
      <c r="B5" s="238"/>
      <c r="C5" s="238"/>
      <c r="D5" s="245"/>
      <c r="E5" s="245"/>
      <c r="F5" s="245"/>
    </row>
    <row r="6" spans="2:6" x14ac:dyDescent="0.2">
      <c r="B6" s="237" t="s">
        <v>187</v>
      </c>
      <c r="C6" s="237"/>
      <c r="D6" s="244"/>
      <c r="E6" s="244" t="s">
        <v>188</v>
      </c>
      <c r="F6" s="244" t="s">
        <v>189</v>
      </c>
    </row>
    <row r="7" spans="2:6" ht="13.5" thickBot="1" x14ac:dyDescent="0.25">
      <c r="B7" s="238"/>
      <c r="C7" s="238"/>
      <c r="D7" s="245"/>
      <c r="E7" s="245"/>
      <c r="F7" s="245"/>
    </row>
    <row r="8" spans="2:6" ht="51" x14ac:dyDescent="0.2">
      <c r="B8" s="239" t="s">
        <v>190</v>
      </c>
      <c r="C8" s="240"/>
      <c r="D8" s="246"/>
      <c r="E8" s="246">
        <v>5</v>
      </c>
      <c r="F8" s="247"/>
    </row>
    <row r="9" spans="2:6" x14ac:dyDescent="0.2">
      <c r="B9" s="241"/>
      <c r="C9" s="238"/>
      <c r="D9" s="245"/>
      <c r="E9" s="248" t="s">
        <v>191</v>
      </c>
      <c r="F9" s="249" t="s">
        <v>192</v>
      </c>
    </row>
    <row r="10" spans="2:6" ht="13.5" thickBot="1" x14ac:dyDescent="0.25">
      <c r="B10" s="242"/>
      <c r="C10" s="243"/>
      <c r="D10" s="250"/>
      <c r="E10" s="251" t="s">
        <v>193</v>
      </c>
      <c r="F10" s="252" t="s">
        <v>192</v>
      </c>
    </row>
    <row r="11" spans="2:6" x14ac:dyDescent="0.2">
      <c r="B11" s="238"/>
      <c r="C11" s="238"/>
      <c r="D11" s="245"/>
      <c r="E11" s="245"/>
      <c r="F11" s="245"/>
    </row>
    <row r="12" spans="2:6" x14ac:dyDescent="0.2">
      <c r="B12" s="238"/>
      <c r="C12" s="238"/>
      <c r="D12" s="245"/>
      <c r="E12" s="245"/>
      <c r="F12" s="245"/>
    </row>
  </sheetData>
  <hyperlinks>
    <hyperlink ref="E9" location="'Main'!B4:U66" display="'Main'!B4:U66"/>
    <hyperlink ref="E10" location="'Dryer Eff.'!A1:U75" display="'Dryer Eff.'!A1:U7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65B65718767345935611D951FEAD62" ma:contentTypeVersion="13" ma:contentTypeDescription="Create a new document." ma:contentTypeScope="" ma:versionID="dfd5b57997970ef20924f9f310a1bc0c">
  <xsd:schema xmlns:xsd="http://www.w3.org/2001/XMLSchema" xmlns:xs="http://www.w3.org/2001/XMLSchema" xmlns:p="http://schemas.microsoft.com/office/2006/metadata/properties" xmlns:ns3="deedf785-67ee-43e7-b440-ea4f78a61ea1" xmlns:ns4="2ef53749-08c8-496b-a62e-f724fb08dbcd" targetNamespace="http://schemas.microsoft.com/office/2006/metadata/properties" ma:root="true" ma:fieldsID="e0236316d710742beca4344530144e7c" ns3:_="" ns4:_="">
    <xsd:import namespace="deedf785-67ee-43e7-b440-ea4f78a61ea1"/>
    <xsd:import namespace="2ef53749-08c8-496b-a62e-f724fb08db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df785-67ee-43e7-b440-ea4f78a61ea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f53749-08c8-496b-a62e-f724fb08dbc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BE501B-1E33-4FB9-A6A2-BF8AF0678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df785-67ee-43e7-b440-ea4f78a61ea1"/>
    <ds:schemaRef ds:uri="2ef53749-08c8-496b-a62e-f724fb08db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85363-776B-45BA-8341-6DC4949EA9E5}">
  <ds:schemaRefs>
    <ds:schemaRef ds:uri="http://schemas.microsoft.com/sharepoint/v3/contenttype/forms"/>
  </ds:schemaRefs>
</ds:datastoreItem>
</file>

<file path=customXml/itemProps3.xml><?xml version="1.0" encoding="utf-8"?>
<ds:datastoreItem xmlns:ds="http://schemas.openxmlformats.org/officeDocument/2006/customXml" ds:itemID="{60A7DBEC-1EC9-484D-BA49-E97A6C2330FE}">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deedf785-67ee-43e7-b440-ea4f78a61ea1"/>
    <ds:schemaRef ds:uri="http://schemas.microsoft.com/office/infopath/2007/PartnerControls"/>
    <ds:schemaRef ds:uri="2ef53749-08c8-496b-a62e-f724fb08dbc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Main</vt:lpstr>
      <vt:lpstr>Drying</vt:lpstr>
      <vt:lpstr>Depreciation</vt:lpstr>
      <vt:lpstr>Labor</vt:lpstr>
      <vt:lpstr>Trucking</vt:lpstr>
      <vt:lpstr>Dryer Eff.</vt:lpstr>
      <vt:lpstr>Compatibility Report</vt:lpstr>
      <vt:lpstr>Main!Print_Area</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G. McNeill</dc:creator>
  <cp:lastModifiedBy>Pekarchik, Karin</cp:lastModifiedBy>
  <cp:lastPrinted>2016-07-26T15:32:30Z</cp:lastPrinted>
  <dcterms:created xsi:type="dcterms:W3CDTF">1998-08-26T19:14:35Z</dcterms:created>
  <dcterms:modified xsi:type="dcterms:W3CDTF">2019-09-04T18:37:39Z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0x0101001F65B65718767345935611D951FEAD62</vt:lpwstr>
  </property>
</Properties>
</file>