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Jackson\"/>
    </mc:Choice>
  </mc:AlternateContent>
  <bookViews>
    <workbookView xWindow="0" yWindow="0" windowWidth="28800" windowHeight="12510"/>
  </bookViews>
  <sheets>
    <sheet name="Boards" sheetId="1" r:id="rId1"/>
    <sheet name="Guard Rail" sheetId="2" r:id="rId2"/>
    <sheet name="Posts" sheetId="3" r:id="rId3"/>
    <sheet name="Fasteners" sheetId="4" r:id="rId4"/>
    <sheet name="Gates" sheetId="5" r:id="rId5"/>
    <sheet name="Panels" sheetId="6" r:id="rId6"/>
    <sheet name="Concrete" sheetId="7" r:id="rId7"/>
    <sheet name="Total_Cost" sheetId="8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8" l="1"/>
  <c r="D1" i="8"/>
  <c r="H27" i="8" s="1"/>
  <c r="E7" i="7"/>
  <c r="C7" i="7"/>
  <c r="B7" i="7"/>
  <c r="E6" i="7"/>
  <c r="E16" i="6"/>
  <c r="D15" i="6"/>
  <c r="D14" i="6"/>
  <c r="D13" i="6"/>
  <c r="D12" i="6"/>
  <c r="D11" i="6"/>
  <c r="D10" i="6"/>
  <c r="D9" i="6"/>
  <c r="D8" i="6"/>
  <c r="C8" i="6"/>
  <c r="E8" i="6" s="1"/>
  <c r="C1" i="6"/>
  <c r="C10" i="6" s="1"/>
  <c r="E10" i="6" s="1"/>
  <c r="D12" i="5"/>
  <c r="E12" i="5" s="1"/>
  <c r="D11" i="5"/>
  <c r="E11" i="5" s="1"/>
  <c r="D10" i="5"/>
  <c r="E10" i="5" s="1"/>
  <c r="D9" i="5"/>
  <c r="E9" i="5" s="1"/>
  <c r="D8" i="5"/>
  <c r="E8" i="5" s="1"/>
  <c r="D7" i="5"/>
  <c r="E7" i="5" s="1"/>
  <c r="D6" i="5"/>
  <c r="E6" i="5" s="1"/>
  <c r="D5" i="5"/>
  <c r="E5" i="5" s="1"/>
  <c r="C15" i="3"/>
  <c r="D43" i="8" s="1"/>
  <c r="D10" i="3"/>
  <c r="D9" i="7" s="1"/>
  <c r="F49" i="8" s="1"/>
  <c r="C10" i="3"/>
  <c r="C14" i="3" s="1"/>
  <c r="B10" i="3"/>
  <c r="B9" i="7" s="1"/>
  <c r="C6" i="3"/>
  <c r="E10" i="3" s="1"/>
  <c r="C1" i="2"/>
  <c r="C14" i="2" s="1"/>
  <c r="D14" i="2" s="1"/>
  <c r="C43" i="8" s="1"/>
  <c r="M42" i="1"/>
  <c r="L42" i="1" s="1"/>
  <c r="M40" i="1"/>
  <c r="L40" i="1" s="1"/>
  <c r="C34" i="1"/>
  <c r="B34" i="1"/>
  <c r="B29" i="1"/>
  <c r="M41" i="1" s="1"/>
  <c r="L41" i="1" s="1"/>
  <c r="B28" i="1"/>
  <c r="B27" i="1"/>
  <c r="M39" i="1" s="1"/>
  <c r="L39" i="1" s="1"/>
  <c r="B26" i="1"/>
  <c r="M38" i="1" s="1"/>
  <c r="L38" i="1" s="1"/>
  <c r="C21" i="1"/>
  <c r="B21" i="1"/>
  <c r="E20" i="1"/>
  <c r="C20" i="1"/>
  <c r="B20" i="1"/>
  <c r="E19" i="1"/>
  <c r="C19" i="1"/>
  <c r="B19" i="1"/>
  <c r="E18" i="1"/>
  <c r="C18" i="1"/>
  <c r="B18" i="1"/>
  <c r="E12" i="1"/>
  <c r="E21" i="1" s="1"/>
  <c r="D12" i="1"/>
  <c r="D21" i="1" s="1"/>
  <c r="D11" i="1"/>
  <c r="D20" i="1" s="1"/>
  <c r="E10" i="1"/>
  <c r="D10" i="1"/>
  <c r="D19" i="1" s="1"/>
  <c r="E9" i="1"/>
  <c r="D9" i="1"/>
  <c r="D18" i="1" s="1"/>
  <c r="C41" i="1" l="1"/>
  <c r="B41" i="1"/>
  <c r="B39" i="1"/>
  <c r="C39" i="1"/>
  <c r="E14" i="3"/>
  <c r="C15" i="4"/>
  <c r="C14" i="4"/>
  <c r="E15" i="3"/>
  <c r="E9" i="7"/>
  <c r="F24" i="8"/>
  <c r="F7" i="8"/>
  <c r="F27" i="8"/>
  <c r="F8" i="8"/>
  <c r="F25" i="8"/>
  <c r="F9" i="8"/>
  <c r="F26" i="8"/>
  <c r="F10" i="8"/>
  <c r="B42" i="1"/>
  <c r="C40" i="1"/>
  <c r="E13" i="6"/>
  <c r="C48" i="8"/>
  <c r="B24" i="6"/>
  <c r="B15" i="3"/>
  <c r="C13" i="6"/>
  <c r="C9" i="7"/>
  <c r="H24" i="8"/>
  <c r="C13" i="2"/>
  <c r="D13" i="2" s="1"/>
  <c r="C42" i="8" s="1"/>
  <c r="D15" i="3"/>
  <c r="C11" i="6"/>
  <c r="E11" i="6" s="1"/>
  <c r="H26" i="8"/>
  <c r="D17" i="8"/>
  <c r="B13" i="3"/>
  <c r="C14" i="6"/>
  <c r="E14" i="6" s="1"/>
  <c r="C49" i="8" s="1"/>
  <c r="D16" i="8"/>
  <c r="D35" i="8"/>
  <c r="D49" i="8"/>
  <c r="D42" i="8"/>
  <c r="B40" i="1"/>
  <c r="B14" i="3"/>
  <c r="C9" i="6"/>
  <c r="E9" i="6" s="1"/>
  <c r="C42" i="1"/>
  <c r="C12" i="6"/>
  <c r="E12" i="6" s="1"/>
  <c r="D15" i="8"/>
  <c r="H25" i="8"/>
  <c r="D34" i="8"/>
  <c r="D48" i="8"/>
  <c r="D32" i="8"/>
  <c r="D14" i="3"/>
  <c r="C19" i="4"/>
  <c r="C15" i="6"/>
  <c r="E15" i="6" s="1"/>
  <c r="D18" i="8"/>
  <c r="D33" i="8"/>
  <c r="D8" i="4" l="1"/>
  <c r="E48" i="1"/>
  <c r="C33" i="8" s="1"/>
  <c r="C48" i="1"/>
  <c r="C16" i="8" s="1"/>
  <c r="E50" i="1"/>
  <c r="C35" i="8" s="1"/>
  <c r="C50" i="1"/>
  <c r="C18" i="8" s="1"/>
  <c r="D10" i="4"/>
  <c r="F34" i="8"/>
  <c r="F15" i="8"/>
  <c r="F35" i="8"/>
  <c r="F16" i="8"/>
  <c r="F33" i="8"/>
  <c r="F32" i="8"/>
  <c r="F17" i="8"/>
  <c r="F18" i="8"/>
  <c r="D50" i="1"/>
  <c r="C27" i="8" s="1"/>
  <c r="B50" i="1"/>
  <c r="C10" i="8" s="1"/>
  <c r="C10" i="4"/>
  <c r="D26" i="8"/>
  <c r="D10" i="8"/>
  <c r="D24" i="8"/>
  <c r="D7" i="8"/>
  <c r="D9" i="8"/>
  <c r="D27" i="8"/>
  <c r="D8" i="8"/>
  <c r="D25" i="8"/>
  <c r="D7" i="4"/>
  <c r="E47" i="1"/>
  <c r="C32" i="8" s="1"/>
  <c r="C47" i="1"/>
  <c r="C15" i="8" s="1"/>
  <c r="E48" i="8"/>
  <c r="E49" i="8"/>
  <c r="G49" i="8" s="1"/>
  <c r="H49" i="8" s="1"/>
  <c r="C7" i="4"/>
  <c r="D47" i="1"/>
  <c r="C24" i="8" s="1"/>
  <c r="B47" i="1"/>
  <c r="C8" i="4"/>
  <c r="D48" i="1"/>
  <c r="C25" i="8" s="1"/>
  <c r="B48" i="1"/>
  <c r="C8" i="8" s="1"/>
  <c r="D49" i="1"/>
  <c r="C26" i="8" s="1"/>
  <c r="C9" i="4"/>
  <c r="B49" i="1"/>
  <c r="C9" i="8" s="1"/>
  <c r="E42" i="8"/>
  <c r="G42" i="8" s="1"/>
  <c r="H42" i="8" s="1"/>
  <c r="E43" i="8"/>
  <c r="F42" i="8"/>
  <c r="F43" i="8"/>
  <c r="C49" i="1"/>
  <c r="C17" i="8" s="1"/>
  <c r="D9" i="4"/>
  <c r="E49" i="1"/>
  <c r="C34" i="8" s="1"/>
  <c r="G48" i="8"/>
  <c r="H48" i="8" s="1"/>
  <c r="E35" i="8" l="1"/>
  <c r="G35" i="8" s="1"/>
  <c r="H35" i="8" s="1"/>
  <c r="E18" i="8"/>
  <c r="E24" i="8"/>
  <c r="E7" i="8"/>
  <c r="G18" i="8"/>
  <c r="H18" i="8" s="1"/>
  <c r="E34" i="8"/>
  <c r="G34" i="8" s="1"/>
  <c r="H34" i="8" s="1"/>
  <c r="E17" i="8"/>
  <c r="G17" i="8" s="1"/>
  <c r="H17" i="8" s="1"/>
  <c r="E9" i="8"/>
  <c r="E26" i="8"/>
  <c r="G8" i="8"/>
  <c r="H8" i="8" s="1"/>
  <c r="G9" i="8"/>
  <c r="H9" i="8" s="1"/>
  <c r="G15" i="8"/>
  <c r="H15" i="8" s="1"/>
  <c r="G32" i="8"/>
  <c r="H32" i="8" s="1"/>
  <c r="E8" i="8"/>
  <c r="E25" i="8"/>
  <c r="E15" i="8"/>
  <c r="E32" i="8"/>
  <c r="G43" i="8"/>
  <c r="H43" i="8" s="1"/>
  <c r="C7" i="8"/>
  <c r="G7" i="8" s="1"/>
  <c r="H7" i="8" s="1"/>
  <c r="C6" i="6"/>
  <c r="C6" i="2"/>
  <c r="E27" i="8"/>
  <c r="E10" i="8"/>
  <c r="E16" i="8"/>
  <c r="G16" i="8" s="1"/>
  <c r="H16" i="8" s="1"/>
  <c r="E33" i="8"/>
  <c r="G33" i="8" s="1"/>
  <c r="H33" i="8" s="1"/>
  <c r="G10" i="8"/>
  <c r="H10" i="8" s="1"/>
</calcChain>
</file>

<file path=xl/sharedStrings.xml><?xml version="1.0" encoding="utf-8"?>
<sst xmlns="http://schemas.openxmlformats.org/spreadsheetml/2006/main" count="250" uniqueCount="107">
  <si>
    <t>Length of section (feet)</t>
  </si>
  <si>
    <t>Be sure to stagger joints</t>
  </si>
  <si>
    <t>12' planks assumes 6' post spacing</t>
  </si>
  <si>
    <t>16' planks assumes 8' post spacing</t>
  </si>
  <si>
    <t>Cost per Board</t>
  </si>
  <si>
    <t xml:space="preserve">Price accessed June 2018 Prices will fluctuate </t>
  </si>
  <si>
    <t>Treated Lumber</t>
  </si>
  <si>
    <t>Rough Cut Lumber</t>
  </si>
  <si>
    <t>Tan values can be modified</t>
  </si>
  <si>
    <t>Board length in feet</t>
  </si>
  <si>
    <t>Board Dimensions</t>
  </si>
  <si>
    <t>2" x 6"</t>
  </si>
  <si>
    <t>2" x 8"</t>
  </si>
  <si>
    <t>2" x 10"</t>
  </si>
  <si>
    <t>2" x 12"</t>
  </si>
  <si>
    <t>Cost per Linear Foot</t>
  </si>
  <si>
    <t>Rough cut lumber</t>
  </si>
  <si>
    <t>Total Heigth of Fence (in)</t>
  </si>
  <si>
    <r>
      <rPr>
        <b/>
        <i/>
        <u/>
        <sz val="11"/>
        <color theme="1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 number of rows of boards required to achieve 50% height coverage</t>
    </r>
  </si>
  <si>
    <t>Board length</t>
  </si>
  <si>
    <t>Boards required per row</t>
  </si>
  <si>
    <t>These values will be hidden</t>
  </si>
  <si>
    <t>Total number Board Required</t>
  </si>
  <si>
    <t>12'</t>
  </si>
  <si>
    <t>16'</t>
  </si>
  <si>
    <t>Cost</t>
  </si>
  <si>
    <t>Pressure Treated</t>
  </si>
  <si>
    <t>Rough Cut</t>
  </si>
  <si>
    <t xml:space="preserve">Length of Desired Fence </t>
  </si>
  <si>
    <t>guard rail cost per foot</t>
  </si>
  <si>
    <t>Guard Rail  typically comes in ~13' or 26' sections</t>
  </si>
  <si>
    <t>Assumes 12.5' on centers</t>
  </si>
  <si>
    <t>End sections would actually be 13'</t>
  </si>
  <si>
    <t>Minimum number of guard rail to achieve 50% of height coverage will be 3</t>
  </si>
  <si>
    <t>Rows of guard rail</t>
  </si>
  <si>
    <t>number of guard rail</t>
  </si>
  <si>
    <t>Total Cost</t>
  </si>
  <si>
    <t xml:space="preserve">Post </t>
  </si>
  <si>
    <t>6" x 8'</t>
  </si>
  <si>
    <t>adjust tan values as needed</t>
  </si>
  <si>
    <t>8" x 8'</t>
  </si>
  <si>
    <t>Railroad tie</t>
  </si>
  <si>
    <t>Length of Desired Fence</t>
  </si>
  <si>
    <t>Post spacing</t>
  </si>
  <si>
    <t>Panels ONLY</t>
  </si>
  <si>
    <t>Guard Rail ONLY</t>
  </si>
  <si>
    <t>post spacing</t>
  </si>
  <si>
    <t>post required</t>
  </si>
  <si>
    <t>Nails</t>
  </si>
  <si>
    <t>cost of nails</t>
  </si>
  <si>
    <t>nails per board</t>
  </si>
  <si>
    <t>6'</t>
  </si>
  <si>
    <t>8'</t>
  </si>
  <si>
    <t>Post Spacing</t>
  </si>
  <si>
    <t>Guard rail Fastener Cost:</t>
  </si>
  <si>
    <t>Lag bolts</t>
  </si>
  <si>
    <t>Treaded Rod</t>
  </si>
  <si>
    <t>Panel s</t>
  </si>
  <si>
    <t>Chain (two 1 ft chains with clips</t>
  </si>
  <si>
    <t>Assumed cost per foot for gates</t>
  </si>
  <si>
    <t xml:space="preserve">Item </t>
  </si>
  <si>
    <t>Gauge</t>
  </si>
  <si>
    <t># needed</t>
  </si>
  <si>
    <t>Cost/gate</t>
  </si>
  <si>
    <t>Total</t>
  </si>
  <si>
    <t>8' gate</t>
  </si>
  <si>
    <t>16 gauge</t>
  </si>
  <si>
    <t>10' gate</t>
  </si>
  <si>
    <t>12' gate</t>
  </si>
  <si>
    <t>14' gate</t>
  </si>
  <si>
    <t>8' gate 7 bar</t>
  </si>
  <si>
    <t>10' gate 7 bar</t>
  </si>
  <si>
    <t>12' gate 7 bar</t>
  </si>
  <si>
    <t>14' gate 7 bar</t>
  </si>
  <si>
    <t>Length of Fence</t>
  </si>
  <si>
    <t>Assumed cost per foot for Panels</t>
  </si>
  <si>
    <t>8' Panel</t>
  </si>
  <si>
    <t>10' Panel</t>
  </si>
  <si>
    <t>12' Panel</t>
  </si>
  <si>
    <t>14' Panel</t>
  </si>
  <si>
    <t>8' Panel 7 bar</t>
  </si>
  <si>
    <t>10' Panel 7 bar</t>
  </si>
  <si>
    <t>12' Panel 7 bar</t>
  </si>
  <si>
    <t>14' Panel 7 bar</t>
  </si>
  <si>
    <t xml:space="preserve">Other </t>
  </si>
  <si>
    <t>Panel Selected to use</t>
  </si>
  <si>
    <t>Concrete</t>
  </si>
  <si>
    <t>80 lbs mix cost</t>
  </si>
  <si>
    <t>Plank Post Spacing (ft)</t>
  </si>
  <si>
    <t>Number of bags per post</t>
  </si>
  <si>
    <t xml:space="preserve">Total cost for Length of Fence </t>
  </si>
  <si>
    <t>Yes</t>
  </si>
  <si>
    <t>No</t>
  </si>
  <si>
    <t>Select post type</t>
  </si>
  <si>
    <t>Is Concrete Used?</t>
  </si>
  <si>
    <t>Total plank cost</t>
  </si>
  <si>
    <t>Posts</t>
  </si>
  <si>
    <t>Fastener</t>
  </si>
  <si>
    <t>Total Cost per Foot</t>
  </si>
  <si>
    <t xml:space="preserve">Guard rail </t>
  </si>
  <si>
    <t>Select Post Type</t>
  </si>
  <si>
    <t>Select Fastener Type</t>
  </si>
  <si>
    <t>Number of rows</t>
  </si>
  <si>
    <t>Total rail cost</t>
  </si>
  <si>
    <t>3 rows</t>
  </si>
  <si>
    <t>4 rows</t>
  </si>
  <si>
    <t>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</si>
</sst>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4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3" xfId="0" applyFill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3" borderId="0" xfId="0" applyFont="1" applyFill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/>
    <xf numFmtId="0" fontId="0" fillId="4" borderId="0" xfId="0" applyFill="1"/>
    <xf numFmtId="0" fontId="0" fillId="2" borderId="0" xfId="0" applyFill="1"/>
    <xf numFmtId="0" fontId="0" fillId="0" borderId="0" xfId="0" applyAlignment="1">
      <alignment wrapText="1"/>
    </xf>
    <xf numFmtId="164" fontId="0" fillId="2" borderId="0" xfId="0" applyNumberFormat="1" applyFill="1"/>
    <xf numFmtId="166" fontId="0" fillId="0" borderId="0" xfId="0" applyNumberFormat="1"/>
    <xf numFmtId="44" fontId="0" fillId="0" borderId="0" xfId="1" applyFont="1"/>
    <xf numFmtId="164" fontId="0" fillId="2" borderId="0" xfId="1" applyNumberFormat="1" applyFont="1" applyFill="1"/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" fontId="0" fillId="0" borderId="0" xfId="0" applyNumberFormat="1" applyBorder="1" applyAlignment="1">
      <alignment horizontal="left"/>
    </xf>
    <xf numFmtId="166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1" applyNumberFormat="1" applyFont="1" applyAlignment="1">
      <alignment horizontal="center"/>
    </xf>
    <xf numFmtId="44" fontId="0" fillId="0" borderId="0" xfId="1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wrapText="1"/>
    </xf>
    <xf numFmtId="44" fontId="2" fillId="0" borderId="0" xfId="1" applyFont="1"/>
    <xf numFmtId="44" fontId="0" fillId="0" borderId="0" xfId="0" applyNumberFormat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152728</xdr:colOff>
      <xdr:row>23</xdr:row>
      <xdr:rowOff>112330</xdr:rowOff>
    </xdr:from>
    <xdr:to>
      <xdr:col>10</xdr:col>
      <xdr:colOff>267028</xdr:colOff>
      <xdr:row>32</xdr:row>
      <xdr:rowOff>51446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872FC2-3B12-4844-8088-8851F0416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728" y="4579227"/>
          <a:ext cx="3950576" cy="2389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168940</xdr:rowOff>
    </xdr:from>
    <xdr:to>
      <xdr:col>8</xdr:col>
      <xdr:colOff>436194</xdr:colOff>
      <xdr:row>46</xdr:row>
      <xdr:rowOff>179842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8E619E-0FEE-4679-A734-BFC1B15D3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02940"/>
          <a:ext cx="6265494" cy="3630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1"/>
  <sheetViews>
    <sheetView tabSelected="1" topLeftCell="B1" zoomScale="145" zoomScaleNormal="145" workbookViewId="0">
      <selection activeCell="C2" sqref="C2"/>
    </sheetView>
  </sheetViews>
  <sheetFormatPr defaultRowHeight="15" x14ac:dyDescent="0.25"/>
  <cols>
    <col min="1" max="1" width="24.7109375" customWidth="1"/>
    <col min="2" max="2" width="14.7109375" customWidth="1"/>
    <col min="3" max="5" width="11.7109375" customWidth="1"/>
  </cols>
  <sheetData>
    <row r="2" spans="1:8" ht="21.75" customHeight="1" x14ac:dyDescent="0.25">
      <c r="A2" s="1" t="s">
        <v>0</v>
      </c>
      <c r="B2" s="2">
        <v>98</v>
      </c>
      <c r="G2" t="s">
        <v>1</v>
      </c>
    </row>
    <row r="3" spans="1:8" x14ac:dyDescent="0.25">
      <c r="G3" t="s">
        <v>2</v>
      </c>
    </row>
    <row r="4" spans="1:8" x14ac:dyDescent="0.25">
      <c r="G4" t="s">
        <v>3</v>
      </c>
    </row>
    <row r="5" spans="1:8" x14ac:dyDescent="0.25">
      <c r="B5" s="3" t="s">
        <v>4</v>
      </c>
      <c r="C5" s="3"/>
      <c r="D5" s="3"/>
      <c r="E5" s="3"/>
      <c r="G5" t="s">
        <v>5</v>
      </c>
    </row>
    <row r="6" spans="1:8" x14ac:dyDescent="0.25">
      <c r="B6" s="4" t="s">
        <v>6</v>
      </c>
      <c r="C6" s="4"/>
      <c r="D6" s="5" t="s">
        <v>7</v>
      </c>
      <c r="E6" s="6"/>
      <c r="G6" s="7"/>
      <c r="H6" t="s">
        <v>8</v>
      </c>
    </row>
    <row r="7" spans="1:8" x14ac:dyDescent="0.25">
      <c r="B7" s="4" t="s">
        <v>9</v>
      </c>
      <c r="C7" s="8"/>
      <c r="D7" s="5" t="s">
        <v>9</v>
      </c>
      <c r="E7" s="6"/>
    </row>
    <row r="8" spans="1:8" x14ac:dyDescent="0.25">
      <c r="A8" t="s">
        <v>10</v>
      </c>
      <c r="B8" s="9">
        <v>12</v>
      </c>
      <c r="C8" s="9">
        <v>16</v>
      </c>
      <c r="D8" s="10">
        <v>12</v>
      </c>
      <c r="E8" s="9">
        <v>16</v>
      </c>
    </row>
    <row r="9" spans="1:8" x14ac:dyDescent="0.25">
      <c r="A9" t="s">
        <v>11</v>
      </c>
      <c r="B9" s="11">
        <v>11.8</v>
      </c>
      <c r="C9" s="11">
        <v>16.98</v>
      </c>
      <c r="D9" s="12">
        <f>B9*0.9</f>
        <v>10.620000000000001</v>
      </c>
      <c r="E9" s="12">
        <f>C9*0.9</f>
        <v>15.282</v>
      </c>
    </row>
    <row r="10" spans="1:8" x14ac:dyDescent="0.25">
      <c r="A10" t="s">
        <v>12</v>
      </c>
      <c r="B10" s="11">
        <v>16.170000000000002</v>
      </c>
      <c r="C10" s="11">
        <v>20.98</v>
      </c>
      <c r="D10" s="12">
        <f>B10*0.9</f>
        <v>14.553000000000003</v>
      </c>
      <c r="E10" s="12">
        <f>C10*0.9</f>
        <v>18.882000000000001</v>
      </c>
    </row>
    <row r="11" spans="1:8" x14ac:dyDescent="0.25">
      <c r="A11" t="s">
        <v>13</v>
      </c>
      <c r="B11" s="11">
        <v>20.98</v>
      </c>
      <c r="C11" s="11">
        <v>26.98</v>
      </c>
      <c r="D11" s="12">
        <f t="shared" ref="D11:E12" si="0">B11*0.9</f>
        <v>18.882000000000001</v>
      </c>
      <c r="E11" s="13">
        <v>23</v>
      </c>
    </row>
    <row r="12" spans="1:8" x14ac:dyDescent="0.25">
      <c r="A12" t="s">
        <v>14</v>
      </c>
      <c r="B12" s="11">
        <v>29.77</v>
      </c>
      <c r="C12" s="11">
        <v>39.770000000000003</v>
      </c>
      <c r="D12" s="12">
        <f t="shared" si="0"/>
        <v>26.792999999999999</v>
      </c>
      <c r="E12" s="12">
        <f t="shared" si="0"/>
        <v>35.793000000000006</v>
      </c>
    </row>
    <row r="14" spans="1:8" x14ac:dyDescent="0.25">
      <c r="B14" s="3" t="s">
        <v>15</v>
      </c>
      <c r="C14" s="3"/>
      <c r="D14" s="3"/>
      <c r="E14" s="3"/>
    </row>
    <row r="15" spans="1:8" x14ac:dyDescent="0.25">
      <c r="A15" s="14"/>
      <c r="B15" s="14" t="s">
        <v>6</v>
      </c>
      <c r="C15" s="14"/>
      <c r="D15" s="14" t="s">
        <v>16</v>
      </c>
      <c r="E15" s="14"/>
    </row>
    <row r="16" spans="1:8" x14ac:dyDescent="0.25">
      <c r="A16" s="15"/>
      <c r="B16" s="15" t="s">
        <v>9</v>
      </c>
      <c r="C16" s="15"/>
      <c r="D16" s="15" t="s">
        <v>9</v>
      </c>
      <c r="E16" s="15"/>
    </row>
    <row r="17" spans="1:5" x14ac:dyDescent="0.25">
      <c r="A17" s="16" t="s">
        <v>10</v>
      </c>
      <c r="B17" s="9">
        <v>12</v>
      </c>
      <c r="C17" s="9">
        <v>16</v>
      </c>
      <c r="D17" s="9">
        <v>12</v>
      </c>
      <c r="E17" s="9">
        <v>16</v>
      </c>
    </row>
    <row r="18" spans="1:5" x14ac:dyDescent="0.25">
      <c r="A18" s="14" t="s">
        <v>11</v>
      </c>
      <c r="B18" s="17">
        <f>B9/$B$17</f>
        <v>0.98333333333333339</v>
      </c>
      <c r="C18" s="17">
        <f>C9/$C$17</f>
        <v>1.06125</v>
      </c>
      <c r="D18" s="17">
        <f>D9/$D$17</f>
        <v>0.88500000000000012</v>
      </c>
      <c r="E18" s="17">
        <f>E9/$E$17</f>
        <v>0.955125</v>
      </c>
    </row>
    <row r="19" spans="1:5" x14ac:dyDescent="0.25">
      <c r="A19" s="14" t="s">
        <v>12</v>
      </c>
      <c r="B19" s="17">
        <f>B10/$B$17</f>
        <v>1.3475000000000001</v>
      </c>
      <c r="C19" s="17">
        <f>C10/$C$17</f>
        <v>1.31125</v>
      </c>
      <c r="D19" s="17">
        <f t="shared" ref="D19:D21" si="1">D10/$D$17</f>
        <v>1.2127500000000002</v>
      </c>
      <c r="E19" s="17">
        <f>E10/$E$17</f>
        <v>1.1801250000000001</v>
      </c>
    </row>
    <row r="20" spans="1:5" x14ac:dyDescent="0.25">
      <c r="A20" s="14" t="s">
        <v>13</v>
      </c>
      <c r="B20" s="17">
        <f>B11/$B$17</f>
        <v>1.7483333333333333</v>
      </c>
      <c r="C20" s="17">
        <f>C11/$C$17</f>
        <v>1.68625</v>
      </c>
      <c r="D20" s="17">
        <f t="shared" si="1"/>
        <v>1.5735000000000001</v>
      </c>
      <c r="E20" s="17">
        <f>E11/$E$17</f>
        <v>1.4375</v>
      </c>
    </row>
    <row r="21" spans="1:5" x14ac:dyDescent="0.25">
      <c r="A21" s="14" t="s">
        <v>14</v>
      </c>
      <c r="B21" s="17">
        <f>B12/$B$17</f>
        <v>2.4808333333333334</v>
      </c>
      <c r="C21" s="17">
        <f>C12/$C$17</f>
        <v>2.4856250000000002</v>
      </c>
      <c r="D21" s="17">
        <f t="shared" si="1"/>
        <v>2.2327499999999998</v>
      </c>
      <c r="E21" s="17">
        <f>E12/$E$17</f>
        <v>2.2370625000000004</v>
      </c>
    </row>
    <row r="24" spans="1:5" ht="31.5" x14ac:dyDescent="0.25">
      <c r="A24" s="18" t="s">
        <v>17</v>
      </c>
      <c r="B24" s="2">
        <v>72</v>
      </c>
    </row>
    <row r="25" spans="1:5" ht="56.25" customHeight="1" x14ac:dyDescent="0.25">
      <c r="A25" s="16" t="s">
        <v>10</v>
      </c>
      <c r="B25" s="19" t="s">
        <v>18</v>
      </c>
      <c r="C25" s="19"/>
    </row>
    <row r="26" spans="1:5" x14ac:dyDescent="0.25">
      <c r="A26" s="14" t="s">
        <v>11</v>
      </c>
      <c r="B26">
        <f>ROUNDUP($B$24/2/K33,0)</f>
        <v>6</v>
      </c>
    </row>
    <row r="27" spans="1:5" x14ac:dyDescent="0.25">
      <c r="A27" s="14" t="s">
        <v>12</v>
      </c>
      <c r="B27">
        <f>ROUNDUP($B$24/2/K34,0)</f>
        <v>5</v>
      </c>
    </row>
    <row r="28" spans="1:5" x14ac:dyDescent="0.25">
      <c r="A28" s="14" t="s">
        <v>13</v>
      </c>
      <c r="B28">
        <f>ROUNDUP($B$24/2/K35,0)</f>
        <v>4</v>
      </c>
    </row>
    <row r="29" spans="1:5" x14ac:dyDescent="0.25">
      <c r="A29" s="14" t="s">
        <v>14</v>
      </c>
      <c r="B29">
        <f>ROUNDUP($B$24/2/K36,0)</f>
        <v>3</v>
      </c>
    </row>
    <row r="33" spans="1:15" x14ac:dyDescent="0.25">
      <c r="A33" s="20" t="s">
        <v>19</v>
      </c>
      <c r="B33" s="20">
        <v>12</v>
      </c>
      <c r="C33" s="20">
        <v>16</v>
      </c>
      <c r="K33" s="20">
        <v>6</v>
      </c>
      <c r="L33" s="21"/>
      <c r="M33" s="21"/>
      <c r="N33" s="21"/>
      <c r="O33" s="21"/>
    </row>
    <row r="34" spans="1:15" x14ac:dyDescent="0.25">
      <c r="A34" s="20" t="s">
        <v>20</v>
      </c>
      <c r="B34" s="20">
        <f>($B$2/B33)</f>
        <v>8.1666666666666661</v>
      </c>
      <c r="C34" s="20">
        <f>$B$2/C33</f>
        <v>6.125</v>
      </c>
      <c r="K34" s="20">
        <v>8</v>
      </c>
      <c r="L34" s="21" t="s">
        <v>21</v>
      </c>
      <c r="M34" s="21"/>
      <c r="N34" s="21"/>
      <c r="O34" s="21"/>
    </row>
    <row r="35" spans="1:15" x14ac:dyDescent="0.25">
      <c r="K35" s="20">
        <v>10</v>
      </c>
      <c r="L35" s="21"/>
      <c r="M35" s="21"/>
      <c r="N35" s="21"/>
      <c r="O35" s="21"/>
    </row>
    <row r="36" spans="1:15" x14ac:dyDescent="0.25">
      <c r="K36" s="20">
        <v>12</v>
      </c>
      <c r="L36" s="21"/>
      <c r="M36" s="21"/>
      <c r="N36" s="21"/>
      <c r="O36" s="21"/>
    </row>
    <row r="37" spans="1:15" ht="26.25" customHeight="1" x14ac:dyDescent="0.25">
      <c r="B37" s="19" t="s">
        <v>22</v>
      </c>
      <c r="C37" s="19"/>
      <c r="K37" s="21"/>
      <c r="L37" s="21"/>
      <c r="M37" s="21"/>
      <c r="N37" s="21"/>
      <c r="O37" s="21"/>
    </row>
    <row r="38" spans="1:15" x14ac:dyDescent="0.25">
      <c r="A38" s="16" t="s">
        <v>10</v>
      </c>
      <c r="B38" s="22" t="s">
        <v>23</v>
      </c>
      <c r="C38" s="22" t="s">
        <v>24</v>
      </c>
      <c r="K38" s="20">
        <v>6</v>
      </c>
      <c r="L38" s="20">
        <f>M38/16</f>
        <v>0.16666666666666666</v>
      </c>
      <c r="M38" s="20">
        <f>16/B26</f>
        <v>2.6666666666666665</v>
      </c>
      <c r="N38" s="21"/>
      <c r="O38" s="21"/>
    </row>
    <row r="39" spans="1:15" x14ac:dyDescent="0.25">
      <c r="A39" s="14" t="s">
        <v>11</v>
      </c>
      <c r="B39" s="23">
        <f>IF(B$34&lt;&gt;INT(B$34),IF((B$34-TRUNC(B$34))&gt;$L$38,IF((B$34-TRUNC(B$34)&gt;$L$39),IF((B$34-TRUNC(B$34)&gt;$L$40),IF((B$34-TRUNC(B$34)&gt;$L$41),IF((B$34-TRUNC(B$34)&gt;$L$42),ROUNDUP(B$34,0)*$B26,INT(B$34)*$B26+IF($B26&gt;4,3,2)),INT(B$34)*$B26+2),INT(B$34)*$B26+2),INT(B$34)*$B26+2),INT(B$34)*$B26+1),INT(B$34)*$B26)</f>
        <v>49</v>
      </c>
      <c r="C39" s="23">
        <f t="shared" ref="C39:D39" si="2">IF(C$34&lt;&gt;INT(C$34),IF((C$34-TRUNC(C$34))&gt;$L$38,IF((C$34-TRUNC(C$34)&gt;$L$39),IF((C$34-TRUNC(C$34)&gt;$L$40),IF((C$34-TRUNC(C$34)&gt;$L$41),IF((C$34-TRUNC(C$34)&gt;$L$42),ROUNDUP(C$34,0)*$B26,INT(C$34)*$B26+IF($B26&gt;4,3,2)),INT(C$34)*$B26+2),INT(C$34)*$B26+2),INT(C$34)*$B26+2),INT(C$34)*$B26+1),INT(C$34)*$B26)</f>
        <v>37</v>
      </c>
      <c r="K39" s="20">
        <v>5</v>
      </c>
      <c r="L39" s="20">
        <f>M39/16</f>
        <v>0.2</v>
      </c>
      <c r="M39" s="20">
        <f>16/B27</f>
        <v>3.2</v>
      </c>
      <c r="N39" s="21"/>
      <c r="O39" s="21"/>
    </row>
    <row r="40" spans="1:15" x14ac:dyDescent="0.25">
      <c r="A40" s="14" t="s">
        <v>12</v>
      </c>
      <c r="B40" s="23">
        <f t="shared" ref="B40:C40" si="3">IF(B$34&lt;&gt;INT(B$34),IF((B$34-TRUNC(B$34))&gt;$L$38,IF((B$34-TRUNC(B$34)&gt;$L$39),IF((B$34-TRUNC(B$34)&gt;$L$40),IF((B$34-TRUNC(B$34)&gt;$L$41),IF((B$34-TRUNC(B$34)&gt;$L$42),ROUNDUP(B$34,0)*$B27,INT(B$34)*$B27+IF($B27&gt;4,3,2)),INT(B$34)*$B27+2),INT(B$34)*$B27+2),INT(B$34)*$B27+2),INT(B$34)*$B27+1),INT(B$34)*$B27)</f>
        <v>41</v>
      </c>
      <c r="C40" s="23">
        <f t="shared" si="3"/>
        <v>31</v>
      </c>
      <c r="K40" s="20">
        <v>4</v>
      </c>
      <c r="L40" s="20">
        <f>M40/16</f>
        <v>0.25</v>
      </c>
      <c r="M40" s="20">
        <f>16/B28</f>
        <v>4</v>
      </c>
      <c r="N40" s="21"/>
      <c r="O40" s="21"/>
    </row>
    <row r="41" spans="1:15" x14ac:dyDescent="0.25">
      <c r="A41" s="14" t="s">
        <v>13</v>
      </c>
      <c r="B41" s="23">
        <f>IF(B$34&lt;&gt;INT(B$34),IF((B$34-TRUNC(B$34))&gt;$L$38,IF((B$34-TRUNC(B$34)&gt;$L$39),IF((B$34-TRUNC(B$34)&gt;$L$40),IF((B$34-TRUNC(B$34)&gt;$L$41),IF((B$34-TRUNC(B$34)&gt;$L$42),ROUNDUP(B$34,0)*$B28,INT(B$34)*$B28+IF($B28&gt;4,3,2)),INT(B$34)*$B28+2),INT(B$34)*$B28+2),INT(B$34)*$B28+2),INT(B$34)*$B28+1),INT(B$34)*$B28)</f>
        <v>33</v>
      </c>
      <c r="C41" s="23">
        <f>IF(C$34&lt;&gt;INT(C$34),IF((C$34-TRUNC(C$34))&gt;$L$38,IF((C$34-TRUNC(C$34)&gt;$L$39),IF((C$34-TRUNC(C$34)&gt;$L$40),IF((C$34-TRUNC(C$34)&gt;$L$41),IF((C$34-TRUNC(C$34)&gt;$L$42),ROUNDUP(C$34,0)*$B28,INT(C$34)*$B28+IF($B28&gt;4,3,2)),INT(C$34)*$B28+2),INT(C$34)*$B28+2),INT(C$34)*$B28+2),INT(C$34)*$B28+1),INT(C$34)*$B28)</f>
        <v>25</v>
      </c>
      <c r="K41" s="20">
        <v>3</v>
      </c>
      <c r="L41" s="20">
        <f>M41/16</f>
        <v>0.33333333333333331</v>
      </c>
      <c r="M41" s="20">
        <f>16/B29</f>
        <v>5.333333333333333</v>
      </c>
      <c r="N41" s="21"/>
      <c r="O41" s="21"/>
    </row>
    <row r="42" spans="1:15" x14ac:dyDescent="0.25">
      <c r="A42" s="14" t="s">
        <v>14</v>
      </c>
      <c r="B42" s="23">
        <f>IF(B$34&lt;&gt;INT(B$34),IF((B$34-TRUNC(B$34))&gt;$L$38,IF((B$34-TRUNC(B$34)&gt;$L$39),IF((B$34-TRUNC(B$34)&gt;$L$40),IF((B$34-TRUNC(B$34)&gt;$L$41),IF((B$34-TRUNC(B$34)&gt;$L$42),ROUNDUP(B$34,0)*$B29,INT(B$34)*$B29+IF($B29&gt;4,3,2)),INT(B$34)*$B29+2),INT(B$34)*$B29+2),INT(B$34)*$B29+2),INT(B$34)*$B29+1),INT(B$34)*$B29)</f>
        <v>25</v>
      </c>
      <c r="C42" s="23">
        <f>IF(C$34&lt;&gt;INT(C$34),IF((C$34-TRUNC(C$34))&gt;$L$38,IF((C$34-TRUNC(C$34)&gt;$L$39),IF((C$34-TRUNC(C$34)&gt;$L$40),IF((C$34-TRUNC(C$34)&gt;$L$41),IF((C$34-TRUNC(C$34)&gt;$L$42),ROUNDUP(C$34,0)*$B29,INT(C$34)*$B29+IF($B29&gt;4,3,2)),INT(C$34)*$B29+2),INT(C$34)*$B29+2),INT(C$34)*$B29+2),INT(C$34)*$B29+1),INT(C$34)*$B29)</f>
        <v>19</v>
      </c>
      <c r="K42" s="20">
        <v>2</v>
      </c>
      <c r="L42" s="20">
        <f>M42/16</f>
        <v>0.5</v>
      </c>
      <c r="M42" s="20">
        <f>16/K42</f>
        <v>8</v>
      </c>
      <c r="N42" s="21"/>
      <c r="O42" s="21"/>
    </row>
    <row r="43" spans="1:15" x14ac:dyDescent="0.25">
      <c r="K43" s="21"/>
      <c r="L43" s="21"/>
      <c r="M43" s="21"/>
      <c r="N43" s="21"/>
      <c r="O43" s="21"/>
    </row>
    <row r="44" spans="1:15" x14ac:dyDescent="0.25">
      <c r="B44" s="3" t="s">
        <v>25</v>
      </c>
      <c r="C44" s="3"/>
      <c r="D44" s="3"/>
      <c r="E44" s="3"/>
    </row>
    <row r="45" spans="1:15" x14ac:dyDescent="0.25">
      <c r="B45" s="24" t="s">
        <v>26</v>
      </c>
      <c r="C45" s="24"/>
      <c r="D45" s="25" t="s">
        <v>27</v>
      </c>
      <c r="E45" s="26"/>
    </row>
    <row r="46" spans="1:15" x14ac:dyDescent="0.25">
      <c r="A46" s="16" t="s">
        <v>10</v>
      </c>
      <c r="B46" s="22" t="s">
        <v>23</v>
      </c>
      <c r="C46" s="22" t="s">
        <v>24</v>
      </c>
      <c r="D46" s="27" t="s">
        <v>23</v>
      </c>
      <c r="E46" s="22" t="s">
        <v>24</v>
      </c>
    </row>
    <row r="47" spans="1:15" x14ac:dyDescent="0.25">
      <c r="A47" s="14" t="s">
        <v>11</v>
      </c>
      <c r="B47" s="28">
        <f>B39*B9</f>
        <v>578.20000000000005</v>
      </c>
      <c r="C47" s="28">
        <f>C39*C9</f>
        <v>628.26</v>
      </c>
      <c r="D47" s="29">
        <f>B39*D9</f>
        <v>520.38</v>
      </c>
      <c r="E47" s="30">
        <f>C39*E9</f>
        <v>565.43399999999997</v>
      </c>
    </row>
    <row r="48" spans="1:15" x14ac:dyDescent="0.25">
      <c r="A48" s="14" t="s">
        <v>12</v>
      </c>
      <c r="B48" s="28">
        <f>B40*B10</f>
        <v>662.97</v>
      </c>
      <c r="C48" s="28">
        <f>C40*C10</f>
        <v>650.38</v>
      </c>
      <c r="D48" s="29">
        <f>B40*D10</f>
        <v>596.67300000000012</v>
      </c>
      <c r="E48" s="30">
        <f>C40*E10</f>
        <v>585.3420000000001</v>
      </c>
    </row>
    <row r="49" spans="1:5" x14ac:dyDescent="0.25">
      <c r="A49" s="14" t="s">
        <v>13</v>
      </c>
      <c r="B49" s="28">
        <f>B41*B11</f>
        <v>692.34</v>
      </c>
      <c r="C49" s="28">
        <f>C41*C11</f>
        <v>674.5</v>
      </c>
      <c r="D49" s="29">
        <f>B41*D11</f>
        <v>623.10599999999999</v>
      </c>
      <c r="E49" s="30">
        <f>C41*E11</f>
        <v>575</v>
      </c>
    </row>
    <row r="50" spans="1:5" x14ac:dyDescent="0.25">
      <c r="A50" s="14" t="s">
        <v>14</v>
      </c>
      <c r="B50" s="28">
        <f>B42*B12</f>
        <v>744.25</v>
      </c>
      <c r="C50" s="28">
        <f>C42*C12</f>
        <v>755.63000000000011</v>
      </c>
      <c r="D50" s="29">
        <f>B42*D12</f>
        <v>669.82499999999993</v>
      </c>
      <c r="E50" s="30">
        <f>C42*E12</f>
        <v>680.06700000000012</v>
      </c>
    </row>
    <row r="51" spans="1:5" x14ac:dyDescent="0.25">
      <c r="B51" s="31"/>
      <c r="C51" s="31"/>
      <c r="D51" s="31"/>
      <c r="E51" s="31"/>
    </row>
  </sheetData>
  <mergeCells count="11">
    <mergeCell ref="B25:C25"/>
    <mergeCell ref="B37:C37"/>
    <mergeCell ref="B44:E44"/>
    <mergeCell ref="B45:C45"/>
    <mergeCell ref="D45:E45"/>
    <mergeCell ref="B5:E5"/>
    <mergeCell ref="B6:C6"/>
    <mergeCell ref="D6:E6"/>
    <mergeCell ref="B7:C7"/>
    <mergeCell ref="D7:E7"/>
    <mergeCell ref="B14:E14"/>
  </mergeCells>
  <pageMargins left="0.7" right="0.7" top="0.75" bottom="0.75" header="0.3" footer="0.3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workbookViewId="0">
      <selection activeCell="K33" sqref="K33:O43"/>
    </sheetView>
  </sheetViews>
  <sheetFormatPr defaultRowHeight="15" x14ac:dyDescent="0.25"/>
  <cols>
    <col min="2" max="2" width="18.140625" customWidth="1"/>
    <col min="3" max="3" width="12.140625" customWidth="1"/>
    <col min="4" max="4" width="11.42578125" customWidth="1"/>
  </cols>
  <sheetData>
    <row r="1" spans="1:4" x14ac:dyDescent="0.25">
      <c r="A1" t="s">
        <v>28</v>
      </c>
      <c r="C1" s="32">
        <f>Boards!B2</f>
        <v>98</v>
      </c>
    </row>
    <row r="3" spans="1:4" x14ac:dyDescent="0.25">
      <c r="A3" t="s">
        <v>29</v>
      </c>
      <c r="C3" s="33">
        <v>2.75</v>
      </c>
    </row>
    <row r="5" spans="1:4" x14ac:dyDescent="0.25">
      <c r="A5" t="s">
        <v>30</v>
      </c>
    </row>
    <row r="6" spans="1:4" x14ac:dyDescent="0.25">
      <c r="A6" t="s">
        <v>31</v>
      </c>
      <c r="C6">
        <f>Boards!B47</f>
        <v>578.20000000000005</v>
      </c>
    </row>
    <row r="7" spans="1:4" x14ac:dyDescent="0.25">
      <c r="A7" t="s">
        <v>32</v>
      </c>
    </row>
    <row r="9" spans="1:4" x14ac:dyDescent="0.25">
      <c r="A9">
        <v>12.5</v>
      </c>
    </row>
    <row r="11" spans="1:4" x14ac:dyDescent="0.25">
      <c r="A11" t="s">
        <v>33</v>
      </c>
    </row>
    <row r="12" spans="1:4" ht="30" x14ac:dyDescent="0.25">
      <c r="B12" t="s">
        <v>34</v>
      </c>
      <c r="C12" s="34" t="s">
        <v>35</v>
      </c>
      <c r="D12" t="s">
        <v>36</v>
      </c>
    </row>
    <row r="13" spans="1:4" x14ac:dyDescent="0.25">
      <c r="B13">
        <v>3</v>
      </c>
      <c r="C13">
        <f>(C1*B13)/A9</f>
        <v>23.52</v>
      </c>
      <c r="D13">
        <f>C13*13*C3</f>
        <v>840.83999999999992</v>
      </c>
    </row>
    <row r="14" spans="1:4" x14ac:dyDescent="0.25">
      <c r="B14">
        <v>4</v>
      </c>
      <c r="C14">
        <f>(C1*B14)/A9</f>
        <v>31.36</v>
      </c>
      <c r="D14">
        <f>C14*13*C3</f>
        <v>1121.1200000000001</v>
      </c>
    </row>
    <row r="21" spans="2:6" x14ac:dyDescent="0.25">
      <c r="B21">
        <v>13</v>
      </c>
      <c r="C21">
        <v>13</v>
      </c>
    </row>
    <row r="22" spans="2:6" x14ac:dyDescent="0.25">
      <c r="B22">
        <v>13</v>
      </c>
      <c r="C22">
        <v>12.5</v>
      </c>
      <c r="D22">
        <v>13</v>
      </c>
    </row>
    <row r="23" spans="2:6" x14ac:dyDescent="0.25">
      <c r="B23">
        <v>13</v>
      </c>
      <c r="C23">
        <v>12.5</v>
      </c>
      <c r="D23">
        <v>12.5</v>
      </c>
      <c r="E23">
        <v>13</v>
      </c>
    </row>
    <row r="24" spans="2:6" x14ac:dyDescent="0.25">
      <c r="B24">
        <v>13</v>
      </c>
      <c r="C24">
        <v>12.5</v>
      </c>
      <c r="D24">
        <v>12.5</v>
      </c>
      <c r="E24">
        <v>12.5</v>
      </c>
      <c r="F24">
        <v>13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K33" sqref="K33:O43"/>
    </sheetView>
  </sheetViews>
  <sheetFormatPr defaultRowHeight="15" x14ac:dyDescent="0.25"/>
  <cols>
    <col min="1" max="1" width="16.7109375" customWidth="1"/>
    <col min="4" max="4" width="15.42578125" customWidth="1"/>
    <col min="5" max="5" width="15.28515625" bestFit="1" customWidth="1"/>
  </cols>
  <sheetData>
    <row r="1" spans="1:5" x14ac:dyDescent="0.25">
      <c r="A1" t="s">
        <v>37</v>
      </c>
      <c r="B1" t="s">
        <v>25</v>
      </c>
    </row>
    <row r="2" spans="1:5" x14ac:dyDescent="0.25">
      <c r="A2" t="s">
        <v>38</v>
      </c>
      <c r="B2" s="35">
        <v>10.5</v>
      </c>
      <c r="D2" t="s">
        <v>39</v>
      </c>
    </row>
    <row r="3" spans="1:5" x14ac:dyDescent="0.25">
      <c r="A3" t="s">
        <v>40</v>
      </c>
      <c r="B3" s="35">
        <v>13.5</v>
      </c>
    </row>
    <row r="4" spans="1:5" x14ac:dyDescent="0.25">
      <c r="A4" t="s">
        <v>41</v>
      </c>
      <c r="B4" s="35">
        <v>15</v>
      </c>
    </row>
    <row r="6" spans="1:5" x14ac:dyDescent="0.25">
      <c r="A6" t="s">
        <v>42</v>
      </c>
      <c r="C6" s="32">
        <f>Boards!B2</f>
        <v>98</v>
      </c>
    </row>
    <row r="8" spans="1:5" x14ac:dyDescent="0.25">
      <c r="B8" t="s">
        <v>43</v>
      </c>
      <c r="D8" t="s">
        <v>44</v>
      </c>
      <c r="E8" t="s">
        <v>45</v>
      </c>
    </row>
    <row r="9" spans="1:5" x14ac:dyDescent="0.25">
      <c r="A9" t="s">
        <v>46</v>
      </c>
      <c r="B9">
        <v>6</v>
      </c>
      <c r="C9">
        <v>8</v>
      </c>
      <c r="D9">
        <v>12</v>
      </c>
      <c r="E9">
        <v>12.5</v>
      </c>
    </row>
    <row r="10" spans="1:5" x14ac:dyDescent="0.25">
      <c r="A10" t="s">
        <v>47</v>
      </c>
      <c r="B10">
        <f>ROUNDUP($C$6/B9,0)+1</f>
        <v>18</v>
      </c>
      <c r="C10">
        <f>ROUNDUP($C$6/C9,0)+1</f>
        <v>14</v>
      </c>
      <c r="D10">
        <f>ROUNDUP($C$6/D9,0)+1</f>
        <v>10</v>
      </c>
      <c r="E10">
        <f>ROUNDUP($C$6/E9,0)+1</f>
        <v>9</v>
      </c>
    </row>
    <row r="12" spans="1:5" x14ac:dyDescent="0.25">
      <c r="A12" t="s">
        <v>25</v>
      </c>
    </row>
    <row r="13" spans="1:5" x14ac:dyDescent="0.25">
      <c r="A13" t="s">
        <v>38</v>
      </c>
      <c r="B13" s="36">
        <f>B2*$B$10</f>
        <v>189</v>
      </c>
      <c r="C13" s="36"/>
      <c r="D13" s="36"/>
      <c r="E13" s="36"/>
    </row>
    <row r="14" spans="1:5" x14ac:dyDescent="0.25">
      <c r="A14" t="s">
        <v>40</v>
      </c>
      <c r="B14" s="36">
        <f t="shared" ref="B14:C15" si="0">B3*$B$10</f>
        <v>243</v>
      </c>
      <c r="C14" s="36">
        <f>B3*$C$10</f>
        <v>189</v>
      </c>
      <c r="D14" s="36">
        <f>B3*$D$10</f>
        <v>135</v>
      </c>
      <c r="E14" s="36">
        <f t="shared" ref="E14" si="1">B3*$E$10</f>
        <v>121.5</v>
      </c>
    </row>
    <row r="15" spans="1:5" x14ac:dyDescent="0.25">
      <c r="A15" t="s">
        <v>41</v>
      </c>
      <c r="B15" s="36">
        <f t="shared" si="0"/>
        <v>270</v>
      </c>
      <c r="C15" s="36">
        <f t="shared" ref="C15" si="2">B4*$C$10</f>
        <v>210</v>
      </c>
      <c r="D15" s="36">
        <f>B4*$D$10</f>
        <v>150</v>
      </c>
      <c r="E15" s="36">
        <f>B4*$E$10</f>
        <v>135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K33" sqref="K33:O43"/>
    </sheetView>
  </sheetViews>
  <sheetFormatPr defaultRowHeight="15" x14ac:dyDescent="0.25"/>
  <cols>
    <col min="1" max="1" width="17.28515625" bestFit="1" customWidth="1"/>
    <col min="2" max="2" width="14.28515625" bestFit="1" customWidth="1"/>
  </cols>
  <sheetData>
    <row r="1" spans="1:4" x14ac:dyDescent="0.25">
      <c r="A1" t="s">
        <v>48</v>
      </c>
    </row>
    <row r="2" spans="1:4" x14ac:dyDescent="0.25">
      <c r="A2" t="s">
        <v>49</v>
      </c>
      <c r="B2">
        <v>0.05</v>
      </c>
    </row>
    <row r="5" spans="1:4" x14ac:dyDescent="0.25">
      <c r="C5" s="24" t="s">
        <v>43</v>
      </c>
      <c r="D5" s="24"/>
    </row>
    <row r="6" spans="1:4" x14ac:dyDescent="0.25">
      <c r="A6" s="16" t="s">
        <v>10</v>
      </c>
      <c r="B6" t="s">
        <v>50</v>
      </c>
      <c r="C6" t="s">
        <v>51</v>
      </c>
      <c r="D6" t="s">
        <v>52</v>
      </c>
    </row>
    <row r="7" spans="1:4" x14ac:dyDescent="0.25">
      <c r="A7" s="14" t="s">
        <v>11</v>
      </c>
      <c r="B7" s="33">
        <v>6</v>
      </c>
      <c r="C7" s="37">
        <f>Boards!B39*Fasteners!$B7*$B$2</f>
        <v>14.700000000000001</v>
      </c>
      <c r="D7" s="37">
        <f>Boards!C39*Fasteners!$B7*$B$2</f>
        <v>11.100000000000001</v>
      </c>
    </row>
    <row r="8" spans="1:4" x14ac:dyDescent="0.25">
      <c r="A8" s="14" t="s">
        <v>12</v>
      </c>
      <c r="B8" s="33">
        <v>6</v>
      </c>
      <c r="C8" s="37">
        <f>Boards!B40*Fasteners!$B8*$B$2</f>
        <v>12.3</v>
      </c>
      <c r="D8" s="37">
        <f>Boards!C40*Fasteners!$B8*$B$2</f>
        <v>9.3000000000000007</v>
      </c>
    </row>
    <row r="9" spans="1:4" x14ac:dyDescent="0.25">
      <c r="A9" s="14" t="s">
        <v>13</v>
      </c>
      <c r="B9" s="33">
        <v>9</v>
      </c>
      <c r="C9" s="37">
        <f>Boards!B41*Fasteners!$B9*$B$2</f>
        <v>14.850000000000001</v>
      </c>
      <c r="D9" s="37">
        <f>Boards!C41*Fasteners!$B9*$B$2</f>
        <v>11.25</v>
      </c>
    </row>
    <row r="10" spans="1:4" x14ac:dyDescent="0.25">
      <c r="A10" s="14" t="s">
        <v>14</v>
      </c>
      <c r="B10" s="33">
        <v>9</v>
      </c>
      <c r="C10" s="37">
        <f>Boards!B42*Fasteners!$B10*$B$2</f>
        <v>11.25</v>
      </c>
      <c r="D10" s="37">
        <f>Boards!C42*Fasteners!$B10*$B$2</f>
        <v>8.5500000000000007</v>
      </c>
    </row>
    <row r="12" spans="1:4" x14ac:dyDescent="0.25">
      <c r="C12" t="s">
        <v>53</v>
      </c>
    </row>
    <row r="13" spans="1:4" x14ac:dyDescent="0.25">
      <c r="A13" s="14" t="s">
        <v>54</v>
      </c>
      <c r="C13">
        <v>12.5</v>
      </c>
    </row>
    <row r="14" spans="1:4" x14ac:dyDescent="0.25">
      <c r="A14" s="14" t="s">
        <v>55</v>
      </c>
      <c r="B14" s="38">
        <v>1.2</v>
      </c>
      <c r="C14" s="39">
        <f>Posts!E10*B14</f>
        <v>10.799999999999999</v>
      </c>
    </row>
    <row r="15" spans="1:4" x14ac:dyDescent="0.25">
      <c r="A15" s="14" t="s">
        <v>56</v>
      </c>
      <c r="B15" s="38">
        <v>2</v>
      </c>
      <c r="C15" s="39">
        <f>Posts!E10*B15</f>
        <v>18</v>
      </c>
    </row>
    <row r="18" spans="1:3" x14ac:dyDescent="0.25">
      <c r="A18" s="14" t="s">
        <v>57</v>
      </c>
      <c r="C18">
        <v>12</v>
      </c>
    </row>
    <row r="19" spans="1:3" x14ac:dyDescent="0.25">
      <c r="A19" s="40" t="s">
        <v>58</v>
      </c>
      <c r="B19" s="35">
        <v>2</v>
      </c>
      <c r="C19">
        <f>Posts!D10*B19</f>
        <v>20</v>
      </c>
    </row>
    <row r="20" spans="1:3" x14ac:dyDescent="0.25">
      <c r="A20" s="40"/>
    </row>
  </sheetData>
  <mergeCells count="2">
    <mergeCell ref="C5:D5"/>
    <mergeCell ref="A19:A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K33" sqref="K33:O43"/>
    </sheetView>
  </sheetViews>
  <sheetFormatPr defaultRowHeight="15" x14ac:dyDescent="0.25"/>
  <cols>
    <col min="1" max="1" width="21" customWidth="1"/>
  </cols>
  <sheetData>
    <row r="2" spans="1:5" x14ac:dyDescent="0.25">
      <c r="A2" t="s">
        <v>59</v>
      </c>
      <c r="E2">
        <v>9</v>
      </c>
    </row>
    <row r="4" spans="1:5" x14ac:dyDescent="0.25">
      <c r="A4" s="41" t="s">
        <v>60</v>
      </c>
      <c r="B4" s="9" t="s">
        <v>61</v>
      </c>
      <c r="C4" s="9" t="s">
        <v>62</v>
      </c>
      <c r="D4" s="9" t="s">
        <v>63</v>
      </c>
      <c r="E4" s="9" t="s">
        <v>64</v>
      </c>
    </row>
    <row r="5" spans="1:5" x14ac:dyDescent="0.25">
      <c r="A5" s="42" t="s">
        <v>65</v>
      </c>
      <c r="B5" s="23" t="s">
        <v>66</v>
      </c>
      <c r="C5" s="23">
        <v>0</v>
      </c>
      <c r="D5" s="43">
        <f>LEFT(A5,FIND("'",A5)-1)*$E$2</f>
        <v>72</v>
      </c>
      <c r="E5" s="44">
        <f>D5*C5</f>
        <v>0</v>
      </c>
    </row>
    <row r="6" spans="1:5" x14ac:dyDescent="0.25">
      <c r="A6" s="42" t="s">
        <v>67</v>
      </c>
      <c r="B6" s="23" t="s">
        <v>66</v>
      </c>
      <c r="C6" s="23">
        <v>0</v>
      </c>
      <c r="D6" s="43">
        <f>LEFT(A6,FIND("'",A6)-1)*$E$2</f>
        <v>90</v>
      </c>
      <c r="E6" s="44">
        <f>D6*C6</f>
        <v>0</v>
      </c>
    </row>
    <row r="7" spans="1:5" x14ac:dyDescent="0.25">
      <c r="A7" s="45" t="s">
        <v>68</v>
      </c>
      <c r="B7" s="46" t="s">
        <v>66</v>
      </c>
      <c r="C7" s="46">
        <v>0</v>
      </c>
      <c r="D7" s="43">
        <f>LEFT(A7,FIND("'",A7)-1)*$E$2</f>
        <v>108</v>
      </c>
      <c r="E7" s="47">
        <f>D7*C7</f>
        <v>0</v>
      </c>
    </row>
    <row r="8" spans="1:5" x14ac:dyDescent="0.25">
      <c r="A8" s="45" t="s">
        <v>69</v>
      </c>
      <c r="B8" s="46" t="s">
        <v>66</v>
      </c>
      <c r="C8" s="46">
        <v>0</v>
      </c>
      <c r="D8" s="43">
        <f>LEFT(A8,FIND("'",A8)-1)*$E$2</f>
        <v>126</v>
      </c>
      <c r="E8" s="47">
        <f>D8*C8</f>
        <v>0</v>
      </c>
    </row>
    <row r="9" spans="1:5" x14ac:dyDescent="0.25">
      <c r="A9" s="42" t="s">
        <v>70</v>
      </c>
      <c r="B9" s="23" t="s">
        <v>66</v>
      </c>
      <c r="C9" s="23">
        <v>0</v>
      </c>
      <c r="D9" s="43">
        <f>LEFT(A9,FIND("'",A9)-1)*$E$2+10</f>
        <v>82</v>
      </c>
      <c r="E9" s="44">
        <f>D9*C9</f>
        <v>0</v>
      </c>
    </row>
    <row r="10" spans="1:5" x14ac:dyDescent="0.25">
      <c r="A10" s="42" t="s">
        <v>71</v>
      </c>
      <c r="B10" s="23" t="s">
        <v>66</v>
      </c>
      <c r="C10" s="23">
        <v>0</v>
      </c>
      <c r="D10" s="43">
        <f>LEFT(A10,FIND("'",A10)-1)*$E$2+10</f>
        <v>100</v>
      </c>
      <c r="E10" s="44">
        <f>D10*C10</f>
        <v>0</v>
      </c>
    </row>
    <row r="11" spans="1:5" x14ac:dyDescent="0.25">
      <c r="A11" s="45" t="s">
        <v>72</v>
      </c>
      <c r="B11" s="46" t="s">
        <v>66</v>
      </c>
      <c r="C11" s="46">
        <v>0</v>
      </c>
      <c r="D11" s="43">
        <f>LEFT(A11,FIND("'",A11)-1)*$E$2+10</f>
        <v>118</v>
      </c>
      <c r="E11" s="47">
        <f>D11*C11</f>
        <v>0</v>
      </c>
    </row>
    <row r="12" spans="1:5" x14ac:dyDescent="0.25">
      <c r="A12" s="45" t="s">
        <v>73</v>
      </c>
      <c r="B12" s="46" t="s">
        <v>66</v>
      </c>
      <c r="C12" s="46">
        <v>0</v>
      </c>
      <c r="D12" s="43">
        <f>LEFT(A12,FIND("'",A12)-1)*$E$2+10</f>
        <v>136</v>
      </c>
      <c r="E12" s="47">
        <f>D12*C12</f>
        <v>0</v>
      </c>
    </row>
    <row r="18" spans="1:5" x14ac:dyDescent="0.25">
      <c r="A18" s="42"/>
      <c r="B18" s="23"/>
      <c r="C18" s="23"/>
      <c r="D18" s="48"/>
      <c r="E18" s="44"/>
    </row>
    <row r="19" spans="1:5" x14ac:dyDescent="0.25">
      <c r="A19" s="49"/>
      <c r="B19" s="46"/>
      <c r="C19" s="46"/>
      <c r="D19" s="50"/>
      <c r="E19" s="47"/>
    </row>
    <row r="20" spans="1:5" x14ac:dyDescent="0.25">
      <c r="A20" s="45"/>
      <c r="B20" s="46"/>
      <c r="C20" s="46"/>
      <c r="D20" s="50"/>
      <c r="E20" s="47"/>
    </row>
    <row r="21" spans="1:5" x14ac:dyDescent="0.25">
      <c r="A21" s="45"/>
      <c r="B21" s="46"/>
      <c r="C21" s="46"/>
      <c r="D21" s="51"/>
      <c r="E21" s="47"/>
    </row>
    <row r="22" spans="1:5" x14ac:dyDescent="0.25">
      <c r="A22" s="45"/>
      <c r="B22" s="46"/>
      <c r="C22" s="46"/>
      <c r="D22" s="50"/>
      <c r="E22" s="4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K33" sqref="K33:O43"/>
    </sheetView>
  </sheetViews>
  <sheetFormatPr defaultRowHeight="15" x14ac:dyDescent="0.25"/>
  <cols>
    <col min="1" max="1" width="17.42578125" customWidth="1"/>
  </cols>
  <sheetData>
    <row r="1" spans="1:5" x14ac:dyDescent="0.25">
      <c r="A1" t="s">
        <v>74</v>
      </c>
      <c r="C1" s="32">
        <f>Boards!B2</f>
        <v>98</v>
      </c>
    </row>
    <row r="2" spans="1:5" x14ac:dyDescent="0.25">
      <c r="A2" t="s">
        <v>75</v>
      </c>
      <c r="E2">
        <v>9</v>
      </c>
    </row>
    <row r="6" spans="1:5" x14ac:dyDescent="0.25">
      <c r="C6">
        <f>Boards!B47</f>
        <v>578.20000000000005</v>
      </c>
    </row>
    <row r="7" spans="1:5" x14ac:dyDescent="0.25">
      <c r="A7" s="41" t="s">
        <v>60</v>
      </c>
      <c r="B7" s="9" t="s">
        <v>61</v>
      </c>
      <c r="C7" s="9" t="s">
        <v>62</v>
      </c>
      <c r="D7" s="9" t="s">
        <v>63</v>
      </c>
      <c r="E7" s="9" t="s">
        <v>64</v>
      </c>
    </row>
    <row r="8" spans="1:5" x14ac:dyDescent="0.25">
      <c r="A8" s="42" t="s">
        <v>76</v>
      </c>
      <c r="B8" s="23" t="s">
        <v>66</v>
      </c>
      <c r="C8" s="23">
        <f>ROUNDUP($C$1/LEFT(A8,FIND("'",A8)-1),0)</f>
        <v>13</v>
      </c>
      <c r="D8" s="43">
        <f>LEFT(A8,FIND("'",A8)-1)*$E$2</f>
        <v>72</v>
      </c>
      <c r="E8" s="44">
        <f>D8*C8</f>
        <v>936</v>
      </c>
    </row>
    <row r="9" spans="1:5" x14ac:dyDescent="0.25">
      <c r="A9" s="42" t="s">
        <v>77</v>
      </c>
      <c r="B9" s="23" t="s">
        <v>66</v>
      </c>
      <c r="C9" s="23">
        <f>ROUNDUP($C$1/LEFT(A9,FIND("'",A9)-1),0)</f>
        <v>10</v>
      </c>
      <c r="D9" s="43">
        <f>LEFT(A9,FIND("'",A9)-1)*$E$2</f>
        <v>90</v>
      </c>
      <c r="E9" s="44">
        <f>D9*C9</f>
        <v>900</v>
      </c>
    </row>
    <row r="10" spans="1:5" x14ac:dyDescent="0.25">
      <c r="A10" s="45" t="s">
        <v>78</v>
      </c>
      <c r="B10" s="46" t="s">
        <v>66</v>
      </c>
      <c r="C10" s="23">
        <f>ROUNDUP($C$1/LEFT(A10,FIND("'",A10)-1),0)</f>
        <v>9</v>
      </c>
      <c r="D10" s="43">
        <f>LEFT(A10,FIND("'",A10)-1)*$E$2</f>
        <v>108</v>
      </c>
      <c r="E10" s="47">
        <f>D10*C10</f>
        <v>972</v>
      </c>
    </row>
    <row r="11" spans="1:5" x14ac:dyDescent="0.25">
      <c r="A11" s="45" t="s">
        <v>79</v>
      </c>
      <c r="B11" s="46" t="s">
        <v>66</v>
      </c>
      <c r="C11" s="23">
        <f>ROUNDUP($C$1/LEFT(A11,FIND("'",A11)-1),0)</f>
        <v>7</v>
      </c>
      <c r="D11" s="43">
        <f>LEFT(A11,FIND("'",A11)-1)*$E$2</f>
        <v>126</v>
      </c>
      <c r="E11" s="47">
        <f>D11*C11</f>
        <v>882</v>
      </c>
    </row>
    <row r="12" spans="1:5" x14ac:dyDescent="0.25">
      <c r="A12" s="42" t="s">
        <v>80</v>
      </c>
      <c r="B12" s="23" t="s">
        <v>66</v>
      </c>
      <c r="C12" s="23">
        <f>ROUNDUP($C$1/LEFT(A12,FIND("'",A12)-1),0)</f>
        <v>13</v>
      </c>
      <c r="D12" s="43">
        <f>LEFT(A12,FIND("'",A12)-1)*$E$2+10</f>
        <v>82</v>
      </c>
      <c r="E12" s="44">
        <f>D12*C12</f>
        <v>1066</v>
      </c>
    </row>
    <row r="13" spans="1:5" x14ac:dyDescent="0.25">
      <c r="A13" s="42" t="s">
        <v>81</v>
      </c>
      <c r="B13" s="23" t="s">
        <v>66</v>
      </c>
      <c r="C13" s="23">
        <f>ROUNDUP($C$1/LEFT(A13,FIND("'",A13)-1),0)</f>
        <v>10</v>
      </c>
      <c r="D13" s="43">
        <f>LEFT(A13,FIND("'",A13)-1)*$E$2+10</f>
        <v>100</v>
      </c>
      <c r="E13" s="44">
        <f>D13*C13</f>
        <v>1000</v>
      </c>
    </row>
    <row r="14" spans="1:5" x14ac:dyDescent="0.25">
      <c r="A14" s="45" t="s">
        <v>82</v>
      </c>
      <c r="B14" s="46" t="s">
        <v>66</v>
      </c>
      <c r="C14" s="23">
        <f>ROUNDUP($C$1/LEFT(A14,FIND("'",A14)-1),0)</f>
        <v>9</v>
      </c>
      <c r="D14" s="43">
        <f>LEFT(A14,FIND("'",A14)-1)*$E$2+10</f>
        <v>118</v>
      </c>
      <c r="E14" s="47">
        <f>D14*C14</f>
        <v>1062</v>
      </c>
    </row>
    <row r="15" spans="1:5" x14ac:dyDescent="0.25">
      <c r="A15" s="45" t="s">
        <v>83</v>
      </c>
      <c r="B15" s="46" t="s">
        <v>66</v>
      </c>
      <c r="C15" s="23">
        <f>ROUNDUP($C$1/LEFT(A15,FIND("'",A15)-1),0)</f>
        <v>7</v>
      </c>
      <c r="D15" s="43">
        <f>LEFT(A15,FIND("'",A15)-1)*$E$2+10</f>
        <v>136</v>
      </c>
      <c r="E15" s="47">
        <f>D15*C15</f>
        <v>952</v>
      </c>
    </row>
    <row r="16" spans="1:5" x14ac:dyDescent="0.25">
      <c r="A16" s="52" t="s">
        <v>84</v>
      </c>
      <c r="C16" s="23"/>
      <c r="D16" s="43"/>
      <c r="E16" s="53">
        <f>D16*C16</f>
        <v>0</v>
      </c>
    </row>
    <row r="17" spans="1:5" x14ac:dyDescent="0.25">
      <c r="A17" s="52"/>
      <c r="E17" s="36"/>
    </row>
    <row r="23" spans="1:5" x14ac:dyDescent="0.25">
      <c r="A23" s="52" t="s">
        <v>85</v>
      </c>
    </row>
    <row r="24" spans="1:5" x14ac:dyDescent="0.25">
      <c r="A24" t="s">
        <v>78</v>
      </c>
      <c r="B24">
        <f>VLOOKUP(A24,A8:E15,5,)</f>
        <v>972</v>
      </c>
    </row>
  </sheetData>
  <dataValidations count="1">
    <dataValidation type="list" allowBlank="1" showInputMessage="1" showErrorMessage="1" sqref="A24">
      <formula1>$A$8:$A$16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K33" sqref="K33:O43"/>
    </sheetView>
  </sheetViews>
  <sheetFormatPr defaultRowHeight="15" x14ac:dyDescent="0.25"/>
  <cols>
    <col min="1" max="1" width="23.28515625" customWidth="1"/>
    <col min="2" max="2" width="12.85546875" customWidth="1"/>
    <col min="3" max="3" width="12.140625" customWidth="1"/>
    <col min="4" max="5" width="15.28515625" bestFit="1" customWidth="1"/>
  </cols>
  <sheetData>
    <row r="2" spans="1:5" x14ac:dyDescent="0.25">
      <c r="A2" t="s">
        <v>86</v>
      </c>
      <c r="B2" t="s">
        <v>87</v>
      </c>
      <c r="D2" s="37">
        <v>4.3</v>
      </c>
    </row>
    <row r="3" spans="1:5" x14ac:dyDescent="0.25">
      <c r="D3">
        <v>2</v>
      </c>
    </row>
    <row r="5" spans="1:5" x14ac:dyDescent="0.25">
      <c r="B5" s="14"/>
      <c r="C5" s="14"/>
      <c r="D5" s="4" t="s">
        <v>53</v>
      </c>
      <c r="E5" s="4"/>
    </row>
    <row r="6" spans="1:5" x14ac:dyDescent="0.25">
      <c r="B6" s="4" t="s">
        <v>88</v>
      </c>
      <c r="C6" s="4"/>
      <c r="D6" s="54" t="s">
        <v>44</v>
      </c>
      <c r="E6" s="54" t="str">
        <f>Posts!E8</f>
        <v>Guard Rail ONLY</v>
      </c>
    </row>
    <row r="7" spans="1:5" x14ac:dyDescent="0.25">
      <c r="B7" s="9">
        <f>Posts!B9</f>
        <v>6</v>
      </c>
      <c r="C7" s="9">
        <f>Posts!C9</f>
        <v>8</v>
      </c>
      <c r="D7" s="9">
        <v>12</v>
      </c>
      <c r="E7" s="9">
        <f>Posts!E9</f>
        <v>12.5</v>
      </c>
    </row>
    <row r="8" spans="1:5" x14ac:dyDescent="0.25">
      <c r="A8" t="s">
        <v>89</v>
      </c>
      <c r="B8" s="55">
        <v>1</v>
      </c>
      <c r="C8" s="55">
        <v>1</v>
      </c>
      <c r="D8" s="55">
        <v>2</v>
      </c>
      <c r="E8" s="55">
        <v>2</v>
      </c>
    </row>
    <row r="9" spans="1:5" x14ac:dyDescent="0.25">
      <c r="A9" t="s">
        <v>25</v>
      </c>
      <c r="B9" s="56">
        <f>Posts!B10*$D$2*B8</f>
        <v>77.399999999999991</v>
      </c>
      <c r="C9" s="57">
        <f>Posts!C10*D2*C8</f>
        <v>60.199999999999996</v>
      </c>
      <c r="D9" s="58">
        <f>Posts!D10*$D$2*D8</f>
        <v>86</v>
      </c>
      <c r="E9" s="58">
        <f>Posts!E10*$D$2*E8</f>
        <v>77.399999999999991</v>
      </c>
    </row>
  </sheetData>
  <mergeCells count="2">
    <mergeCell ref="D5:E5"/>
    <mergeCell ref="B6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145" zoomScaleNormal="145" workbookViewId="0">
      <selection activeCell="K33" sqref="K33:O43"/>
    </sheetView>
  </sheetViews>
  <sheetFormatPr defaultRowHeight="15" x14ac:dyDescent="0.25"/>
  <cols>
    <col min="1" max="1" width="13.42578125" customWidth="1"/>
    <col min="3" max="3" width="10.5703125" bestFit="1" customWidth="1"/>
    <col min="4" max="4" width="11.5703125" customWidth="1"/>
    <col min="5" max="5" width="12.5703125" customWidth="1"/>
    <col min="6" max="6" width="10.7109375" customWidth="1"/>
    <col min="7" max="7" width="10.7109375" bestFit="1" customWidth="1"/>
  </cols>
  <sheetData>
    <row r="1" spans="1:9" x14ac:dyDescent="0.25">
      <c r="A1" t="s">
        <v>90</v>
      </c>
      <c r="D1" s="32">
        <f>Boards!$B$2</f>
        <v>98</v>
      </c>
      <c r="I1" s="20" t="s">
        <v>91</v>
      </c>
    </row>
    <row r="2" spans="1:9" x14ac:dyDescent="0.25">
      <c r="I2" s="20" t="s">
        <v>92</v>
      </c>
    </row>
    <row r="4" spans="1:9" ht="38.25" customHeight="1" x14ac:dyDescent="0.3">
      <c r="A4" s="59" t="s">
        <v>26</v>
      </c>
      <c r="D4" s="34" t="s">
        <v>93</v>
      </c>
      <c r="F4" s="34" t="s">
        <v>94</v>
      </c>
    </row>
    <row r="5" spans="1:9" x14ac:dyDescent="0.25">
      <c r="B5" t="s">
        <v>23</v>
      </c>
      <c r="D5" s="33" t="s">
        <v>38</v>
      </c>
      <c r="F5" s="33" t="s">
        <v>91</v>
      </c>
    </row>
    <row r="6" spans="1:9" ht="45" x14ac:dyDescent="0.25">
      <c r="A6" s="16" t="s">
        <v>10</v>
      </c>
      <c r="B6" s="16"/>
      <c r="C6" s="60" t="s">
        <v>95</v>
      </c>
      <c r="D6" s="16" t="s">
        <v>96</v>
      </c>
      <c r="E6" s="16" t="s">
        <v>97</v>
      </c>
      <c r="F6" s="16" t="s">
        <v>86</v>
      </c>
      <c r="G6" s="16" t="s">
        <v>36</v>
      </c>
      <c r="H6" s="60" t="s">
        <v>98</v>
      </c>
    </row>
    <row r="7" spans="1:9" x14ac:dyDescent="0.25">
      <c r="A7" s="14" t="s">
        <v>11</v>
      </c>
      <c r="C7" s="37">
        <f>Boards!B47</f>
        <v>578.20000000000005</v>
      </c>
      <c r="D7" s="37">
        <f>VLOOKUP($D$5,Posts!$A$13:$B$15,2,FALSE)</f>
        <v>189</v>
      </c>
      <c r="E7" s="37">
        <f>Fasteners!C7</f>
        <v>14.700000000000001</v>
      </c>
      <c r="F7" s="37">
        <f>IF($F$5=$I$1,Concrete!$B$9,"")</f>
        <v>77.399999999999991</v>
      </c>
      <c r="G7" s="37">
        <f>SUM(C7:F7)</f>
        <v>859.30000000000007</v>
      </c>
      <c r="H7" s="61">
        <f>G7/$D$1</f>
        <v>8.768367346938776</v>
      </c>
    </row>
    <row r="8" spans="1:9" x14ac:dyDescent="0.25">
      <c r="A8" s="14" t="s">
        <v>12</v>
      </c>
      <c r="C8" s="37">
        <f>Boards!B48</f>
        <v>662.97</v>
      </c>
      <c r="D8" s="37">
        <f>VLOOKUP($D$5,Posts!$A$13:$B$15,2,FALSE)</f>
        <v>189</v>
      </c>
      <c r="E8" s="37">
        <f>Fasteners!C8</f>
        <v>12.3</v>
      </c>
      <c r="F8" s="37">
        <f>IF($F$5=$I$1,Concrete!$B$9,"")</f>
        <v>77.399999999999991</v>
      </c>
      <c r="G8" s="37">
        <f t="shared" ref="G8:G9" si="0">SUM(C8:F8)</f>
        <v>941.67</v>
      </c>
      <c r="H8" s="61">
        <f t="shared" ref="H8:H10" si="1">G8/$D$1</f>
        <v>9.6088775510204076</v>
      </c>
    </row>
    <row r="9" spans="1:9" x14ac:dyDescent="0.25">
      <c r="A9" s="14" t="s">
        <v>13</v>
      </c>
      <c r="C9" s="37">
        <f>Boards!B49</f>
        <v>692.34</v>
      </c>
      <c r="D9" s="37">
        <f>VLOOKUP($D$5,Posts!$A$13:$B$15,2,FALSE)</f>
        <v>189</v>
      </c>
      <c r="E9" s="37">
        <f>Fasteners!C9</f>
        <v>14.850000000000001</v>
      </c>
      <c r="F9" s="37">
        <f>IF($F$5=$I$1,Concrete!$B$9,"")</f>
        <v>77.399999999999991</v>
      </c>
      <c r="G9" s="37">
        <f t="shared" si="0"/>
        <v>973.59</v>
      </c>
      <c r="H9" s="61">
        <f t="shared" si="1"/>
        <v>9.934591836734695</v>
      </c>
    </row>
    <row r="10" spans="1:9" x14ac:dyDescent="0.25">
      <c r="A10" s="14" t="s">
        <v>14</v>
      </c>
      <c r="C10" s="37">
        <f>Boards!B50</f>
        <v>744.25</v>
      </c>
      <c r="D10" s="37">
        <f>VLOOKUP($D$5,Posts!$A$13:$B$15,2,FALSE)</f>
        <v>189</v>
      </c>
      <c r="E10" s="37">
        <f>Fasteners!C10</f>
        <v>11.25</v>
      </c>
      <c r="F10" s="37">
        <f>IF($F$5=$I$1,Concrete!$B$9,"")</f>
        <v>77.399999999999991</v>
      </c>
      <c r="G10" s="37">
        <f>SUM(C10:F10)</f>
        <v>1021.9</v>
      </c>
      <c r="H10" s="61">
        <f t="shared" si="1"/>
        <v>10.427551020408163</v>
      </c>
    </row>
    <row r="11" spans="1:9" x14ac:dyDescent="0.25">
      <c r="A11" s="14"/>
      <c r="C11" s="37"/>
      <c r="E11" s="62"/>
    </row>
    <row r="12" spans="1:9" ht="45" x14ac:dyDescent="0.25">
      <c r="A12" s="14"/>
      <c r="C12" s="37"/>
      <c r="D12" s="34" t="s">
        <v>93</v>
      </c>
      <c r="F12" s="34" t="s">
        <v>94</v>
      </c>
    </row>
    <row r="13" spans="1:9" x14ac:dyDescent="0.25">
      <c r="B13" t="s">
        <v>24</v>
      </c>
      <c r="C13" s="37"/>
      <c r="D13" s="33" t="s">
        <v>41</v>
      </c>
      <c r="F13" s="33" t="s">
        <v>91</v>
      </c>
    </row>
    <row r="14" spans="1:9" ht="45" x14ac:dyDescent="0.25">
      <c r="A14" s="16" t="s">
        <v>10</v>
      </c>
      <c r="B14" s="16"/>
      <c r="C14" s="60" t="s">
        <v>95</v>
      </c>
      <c r="D14" s="16" t="s">
        <v>96</v>
      </c>
      <c r="E14" s="16" t="s">
        <v>97</v>
      </c>
      <c r="F14" s="16" t="s">
        <v>86</v>
      </c>
      <c r="G14" s="16" t="s">
        <v>36</v>
      </c>
      <c r="H14" s="60" t="s">
        <v>98</v>
      </c>
    </row>
    <row r="15" spans="1:9" x14ac:dyDescent="0.25">
      <c r="A15" s="14" t="s">
        <v>11</v>
      </c>
      <c r="C15" s="37">
        <f>Boards!C47</f>
        <v>628.26</v>
      </c>
      <c r="D15" s="37">
        <f>VLOOKUP($D$13,Posts!$A$14:$E$15,3,FALSE)</f>
        <v>210</v>
      </c>
      <c r="E15" s="37">
        <f>Fasteners!D7</f>
        <v>11.100000000000001</v>
      </c>
      <c r="F15" s="37">
        <f>IF($F$13=$I$1,Concrete!$C$9,"")</f>
        <v>60.199999999999996</v>
      </c>
      <c r="G15" s="37">
        <f>SUM(C15:F15)</f>
        <v>909.56000000000006</v>
      </c>
      <c r="H15" s="63">
        <f>G15/$D$1</f>
        <v>9.2812244897959193</v>
      </c>
    </row>
    <row r="16" spans="1:9" x14ac:dyDescent="0.25">
      <c r="A16" s="14" t="s">
        <v>12</v>
      </c>
      <c r="C16" s="37">
        <f>Boards!C48</f>
        <v>650.38</v>
      </c>
      <c r="D16" s="37">
        <f>VLOOKUP($D$13,Posts!$A$14:$E$15,3,FALSE)</f>
        <v>210</v>
      </c>
      <c r="E16" s="37">
        <f>Fasteners!D8</f>
        <v>9.3000000000000007</v>
      </c>
      <c r="F16" s="37">
        <f>IF($F$13=$I$1,Concrete!$C$9,"")</f>
        <v>60.199999999999996</v>
      </c>
      <c r="G16" s="37">
        <f t="shared" ref="G16:G17" si="2">SUM(C16:F16)</f>
        <v>929.88</v>
      </c>
      <c r="H16" s="63">
        <f t="shared" ref="H16:H18" si="3">G16/$D$1</f>
        <v>9.4885714285714293</v>
      </c>
    </row>
    <row r="17" spans="1:8" x14ac:dyDescent="0.25">
      <c r="A17" s="14" t="s">
        <v>13</v>
      </c>
      <c r="C17" s="37">
        <f>Boards!C49</f>
        <v>674.5</v>
      </c>
      <c r="D17" s="37">
        <f>VLOOKUP($D$13,Posts!$A$14:$E$15,3,FALSE)</f>
        <v>210</v>
      </c>
      <c r="E17" s="37">
        <f>Fasteners!D9</f>
        <v>11.25</v>
      </c>
      <c r="F17" s="37">
        <f>IF($F$13=$I$1,Concrete!$C$9,"")</f>
        <v>60.199999999999996</v>
      </c>
      <c r="G17" s="37">
        <f t="shared" si="2"/>
        <v>955.95</v>
      </c>
      <c r="H17" s="63">
        <f t="shared" si="3"/>
        <v>9.7545918367346935</v>
      </c>
    </row>
    <row r="18" spans="1:8" x14ac:dyDescent="0.25">
      <c r="A18" s="14" t="s">
        <v>14</v>
      </c>
      <c r="C18" s="37">
        <f>Boards!C50</f>
        <v>755.63000000000011</v>
      </c>
      <c r="D18" s="37">
        <f>VLOOKUP($D$13,Posts!$A$14:$E$15,3,FALSE)</f>
        <v>210</v>
      </c>
      <c r="E18" s="37">
        <f>Fasteners!D10</f>
        <v>8.5500000000000007</v>
      </c>
      <c r="F18" s="37">
        <f>IF($F$13=$I$1,Concrete!$C$9,"")</f>
        <v>60.199999999999996</v>
      </c>
      <c r="G18" s="37">
        <f>SUM(C18:F18)</f>
        <v>1034.3800000000001</v>
      </c>
      <c r="H18" s="63">
        <f t="shared" si="3"/>
        <v>10.554897959183675</v>
      </c>
    </row>
    <row r="19" spans="1:8" x14ac:dyDescent="0.25">
      <c r="C19" s="37"/>
    </row>
    <row r="20" spans="1:8" x14ac:dyDescent="0.25">
      <c r="C20" s="37"/>
    </row>
    <row r="21" spans="1:8" ht="45.75" x14ac:dyDescent="0.3">
      <c r="A21" s="59" t="s">
        <v>27</v>
      </c>
      <c r="C21" s="37"/>
      <c r="D21" t="s">
        <v>93</v>
      </c>
      <c r="F21" s="34" t="s">
        <v>94</v>
      </c>
    </row>
    <row r="22" spans="1:8" x14ac:dyDescent="0.25">
      <c r="B22" t="s">
        <v>23</v>
      </c>
      <c r="C22" s="37"/>
      <c r="D22" s="33" t="s">
        <v>38</v>
      </c>
      <c r="F22" s="33" t="s">
        <v>91</v>
      </c>
    </row>
    <row r="23" spans="1:8" ht="45" x14ac:dyDescent="0.25">
      <c r="A23" s="16" t="s">
        <v>10</v>
      </c>
      <c r="B23" s="16"/>
      <c r="C23" s="60" t="s">
        <v>95</v>
      </c>
      <c r="D23" s="16" t="s">
        <v>96</v>
      </c>
      <c r="E23" s="16" t="s">
        <v>97</v>
      </c>
      <c r="F23" s="16" t="s">
        <v>86</v>
      </c>
      <c r="G23" s="16" t="s">
        <v>36</v>
      </c>
      <c r="H23" s="60" t="s">
        <v>98</v>
      </c>
    </row>
    <row r="24" spans="1:8" x14ac:dyDescent="0.25">
      <c r="A24" s="14" t="s">
        <v>11</v>
      </c>
      <c r="C24" s="37">
        <f>Boards!D47</f>
        <v>520.38</v>
      </c>
      <c r="D24" s="37">
        <f>VLOOKUP($D$22,Posts!$A$13:$B$15,2,FALSE)</f>
        <v>189</v>
      </c>
      <c r="E24" s="37">
        <f>Fasteners!C7</f>
        <v>14.700000000000001</v>
      </c>
      <c r="F24" s="37">
        <f>IF($F$22=$I$1,Concrete!$B$9,"")</f>
        <v>77.399999999999991</v>
      </c>
      <c r="G24" s="37">
        <v>905.5</v>
      </c>
      <c r="H24" s="63">
        <f>G24/$D$1</f>
        <v>9.2397959183673475</v>
      </c>
    </row>
    <row r="25" spans="1:8" x14ac:dyDescent="0.25">
      <c r="A25" s="14" t="s">
        <v>12</v>
      </c>
      <c r="C25" s="37">
        <f>Boards!D48</f>
        <v>596.67300000000012</v>
      </c>
      <c r="D25" s="37">
        <f>VLOOKUP($D$22,Posts!$A$13:$B$15,2,FALSE)</f>
        <v>189</v>
      </c>
      <c r="E25" s="37">
        <f>Fasteners!C8</f>
        <v>12.3</v>
      </c>
      <c r="F25" s="37">
        <f>IF($F$22=$I$1,Concrete!$B$9,"")</f>
        <v>77.399999999999991</v>
      </c>
      <c r="G25" s="37">
        <v>983.5</v>
      </c>
      <c r="H25" s="63">
        <f t="shared" ref="H25:H27" si="4">G25/$D$1</f>
        <v>10.035714285714286</v>
      </c>
    </row>
    <row r="26" spans="1:8" x14ac:dyDescent="0.25">
      <c r="A26" s="14" t="s">
        <v>13</v>
      </c>
      <c r="C26" s="37">
        <f>Boards!D49</f>
        <v>623.10599999999999</v>
      </c>
      <c r="D26" s="37">
        <f>VLOOKUP($D$22,Posts!$A$13:$B$15,2,FALSE)</f>
        <v>189</v>
      </c>
      <c r="E26" s="37">
        <f>Fasteners!C9</f>
        <v>14.850000000000001</v>
      </c>
      <c r="F26" s="37">
        <f>IF($F$22=$I$1,Concrete!$B$9,"")</f>
        <v>77.399999999999991</v>
      </c>
      <c r="G26" s="37">
        <v>1010.46</v>
      </c>
      <c r="H26" s="63">
        <f t="shared" si="4"/>
        <v>10.310816326530613</v>
      </c>
    </row>
    <row r="27" spans="1:8" x14ac:dyDescent="0.25">
      <c r="A27" s="14" t="s">
        <v>14</v>
      </c>
      <c r="C27" s="37">
        <f>Boards!D50</f>
        <v>669.82499999999993</v>
      </c>
      <c r="D27" s="37">
        <f>VLOOKUP($D$22,Posts!$A$13:$B$15,2,FALSE)</f>
        <v>189</v>
      </c>
      <c r="E27" s="37">
        <f>Fasteners!C10</f>
        <v>11.25</v>
      </c>
      <c r="F27" s="37">
        <f>IF($F$22=$I$1,Concrete!$B$9,"")</f>
        <v>77.399999999999991</v>
      </c>
      <c r="G27" s="37">
        <v>1049.98</v>
      </c>
      <c r="H27" s="63">
        <f t="shared" si="4"/>
        <v>10.714081632653061</v>
      </c>
    </row>
    <row r="28" spans="1:8" x14ac:dyDescent="0.25">
      <c r="A28" s="14"/>
      <c r="C28" s="37"/>
    </row>
    <row r="29" spans="1:8" ht="45" x14ac:dyDescent="0.25">
      <c r="A29" s="14"/>
      <c r="C29" s="37"/>
      <c r="D29" t="s">
        <v>93</v>
      </c>
      <c r="F29" s="34" t="s">
        <v>94</v>
      </c>
    </row>
    <row r="30" spans="1:8" x14ac:dyDescent="0.25">
      <c r="B30" t="s">
        <v>24</v>
      </c>
      <c r="C30" s="37"/>
      <c r="D30" s="33" t="s">
        <v>41</v>
      </c>
      <c r="F30" s="33" t="s">
        <v>91</v>
      </c>
    </row>
    <row r="31" spans="1:8" ht="45" x14ac:dyDescent="0.25">
      <c r="A31" s="16" t="s">
        <v>10</v>
      </c>
      <c r="B31" s="16"/>
      <c r="C31" s="60"/>
      <c r="D31" s="16" t="s">
        <v>96</v>
      </c>
      <c r="E31" s="16" t="s">
        <v>97</v>
      </c>
      <c r="F31" s="16" t="s">
        <v>86</v>
      </c>
      <c r="G31" s="16" t="s">
        <v>36</v>
      </c>
      <c r="H31" s="60" t="s">
        <v>98</v>
      </c>
    </row>
    <row r="32" spans="1:8" x14ac:dyDescent="0.25">
      <c r="A32" s="14" t="s">
        <v>11</v>
      </c>
      <c r="C32" s="37">
        <f>Boards!E47</f>
        <v>565.43399999999997</v>
      </c>
      <c r="D32" s="37">
        <f>VLOOKUP($D$30,Posts!$A$14:$E$15,3,FALSE)</f>
        <v>210</v>
      </c>
      <c r="E32" s="37">
        <f>Fasteners!D7</f>
        <v>11.100000000000001</v>
      </c>
      <c r="F32" s="37">
        <f>IF($F$30=$I$1,Concrete!$C$9,"")</f>
        <v>60.199999999999996</v>
      </c>
      <c r="G32" s="37">
        <f>SUM(C32:F32)</f>
        <v>846.73400000000004</v>
      </c>
      <c r="H32" s="62">
        <f>G32/$D$1</f>
        <v>8.6401428571428571</v>
      </c>
    </row>
    <row r="33" spans="1:8" x14ac:dyDescent="0.25">
      <c r="A33" s="14" t="s">
        <v>12</v>
      </c>
      <c r="C33" s="37">
        <f>Boards!E48</f>
        <v>585.3420000000001</v>
      </c>
      <c r="D33" s="37">
        <f>VLOOKUP($D$30,Posts!$A$14:$E$15,3,FALSE)</f>
        <v>210</v>
      </c>
      <c r="E33" s="37">
        <f>Fasteners!D8</f>
        <v>9.3000000000000007</v>
      </c>
      <c r="F33" s="37">
        <f>IF($F$13=$I$1,Concrete!$C$9,"")</f>
        <v>60.199999999999996</v>
      </c>
      <c r="G33" s="37">
        <f t="shared" ref="G33:G34" si="5">SUM(C33:F33)</f>
        <v>864.8420000000001</v>
      </c>
      <c r="H33" s="62">
        <f t="shared" ref="H33:H35" si="6">G33/$D$1</f>
        <v>8.8249183673469389</v>
      </c>
    </row>
    <row r="34" spans="1:8" x14ac:dyDescent="0.25">
      <c r="A34" s="14" t="s">
        <v>13</v>
      </c>
      <c r="C34" s="37">
        <f>Boards!E49</f>
        <v>575</v>
      </c>
      <c r="D34" s="37">
        <f>VLOOKUP($D$30,Posts!$A$14:$E$15,3,FALSE)</f>
        <v>210</v>
      </c>
      <c r="E34" s="37">
        <f>Fasteners!D9</f>
        <v>11.25</v>
      </c>
      <c r="F34" s="37">
        <f>IF($F$13=$I$1,Concrete!$C$9,"")</f>
        <v>60.199999999999996</v>
      </c>
      <c r="G34" s="37">
        <f t="shared" si="5"/>
        <v>856.45</v>
      </c>
      <c r="H34" s="62">
        <f t="shared" si="6"/>
        <v>8.7392857142857139</v>
      </c>
    </row>
    <row r="35" spans="1:8" x14ac:dyDescent="0.25">
      <c r="A35" s="14" t="s">
        <v>14</v>
      </c>
      <c r="C35" s="37">
        <f>Boards!E50</f>
        <v>680.06700000000012</v>
      </c>
      <c r="D35" s="37">
        <f>VLOOKUP($D$30,Posts!$A$14:$E$15,3,FALSE)</f>
        <v>210</v>
      </c>
      <c r="E35" s="37">
        <f>Fasteners!D10</f>
        <v>8.5500000000000007</v>
      </c>
      <c r="F35" s="37">
        <f>IF($F$13=$I$1,Concrete!$C$9,"")</f>
        <v>60.199999999999996</v>
      </c>
      <c r="G35" s="37">
        <f>SUM(C35:F35)</f>
        <v>958.81700000000012</v>
      </c>
      <c r="H35" s="62">
        <f t="shared" si="6"/>
        <v>9.7838469387755111</v>
      </c>
    </row>
    <row r="39" spans="1:8" ht="45.75" x14ac:dyDescent="0.3">
      <c r="A39" s="59" t="s">
        <v>99</v>
      </c>
      <c r="D39" s="34" t="s">
        <v>100</v>
      </c>
      <c r="E39" s="34" t="s">
        <v>101</v>
      </c>
      <c r="F39" s="34" t="s">
        <v>94</v>
      </c>
    </row>
    <row r="40" spans="1:8" x14ac:dyDescent="0.25">
      <c r="D40" s="33" t="s">
        <v>41</v>
      </c>
      <c r="E40" s="33" t="s">
        <v>55</v>
      </c>
      <c r="F40" s="33" t="s">
        <v>91</v>
      </c>
    </row>
    <row r="41" spans="1:8" ht="45" x14ac:dyDescent="0.25">
      <c r="A41" s="60" t="s">
        <v>102</v>
      </c>
      <c r="B41" s="16"/>
      <c r="C41" s="60" t="s">
        <v>103</v>
      </c>
      <c r="D41" s="16" t="s">
        <v>96</v>
      </c>
      <c r="E41" s="16" t="s">
        <v>97</v>
      </c>
      <c r="F41" s="16" t="s">
        <v>86</v>
      </c>
      <c r="G41" s="16" t="s">
        <v>36</v>
      </c>
      <c r="H41" s="60" t="s">
        <v>98</v>
      </c>
    </row>
    <row r="42" spans="1:8" x14ac:dyDescent="0.25">
      <c r="A42" t="s">
        <v>104</v>
      </c>
      <c r="C42" s="37">
        <f>'Guard Rail'!D13</f>
        <v>840.83999999999992</v>
      </c>
      <c r="D42" s="37">
        <f>VLOOKUP($D$40,Posts!$A$14:$E$15,3,FALSE)</f>
        <v>210</v>
      </c>
      <c r="E42" s="37">
        <f>VLOOKUP($E$40,Fasteners!$A$14:$C$15,3,FALSE)</f>
        <v>10.799999999999999</v>
      </c>
      <c r="F42" s="37">
        <f>IF($F$40=$I$1,Concrete!$E$9,"")</f>
        <v>77.399999999999991</v>
      </c>
      <c r="G42" s="37">
        <f>SUM(C42:F42)</f>
        <v>1139.04</v>
      </c>
      <c r="H42" s="62">
        <f>G42/$D$1</f>
        <v>11.622857142857143</v>
      </c>
    </row>
    <row r="43" spans="1:8" x14ac:dyDescent="0.25">
      <c r="A43" t="s">
        <v>105</v>
      </c>
      <c r="C43" s="37">
        <f>'Guard Rail'!D14</f>
        <v>1121.1200000000001</v>
      </c>
      <c r="D43" s="37">
        <f>VLOOKUP($D$40,Posts!$A$14:$E$15,3,FALSE)</f>
        <v>210</v>
      </c>
      <c r="E43" s="37">
        <f>VLOOKUP($E$40,Fasteners!$A$14:$C$15,3,FALSE)</f>
        <v>10.799999999999999</v>
      </c>
      <c r="F43" s="37">
        <f>IF($F$40=$I$1,Concrete!$E$9,"")</f>
        <v>77.399999999999991</v>
      </c>
      <c r="G43" s="37">
        <f t="shared" ref="G43" si="7">SUM(C43:F43)</f>
        <v>1419.3200000000002</v>
      </c>
      <c r="H43" s="62">
        <f>G43/$D$1</f>
        <v>14.482857142857144</v>
      </c>
    </row>
    <row r="44" spans="1:8" x14ac:dyDescent="0.25">
      <c r="G44" s="62"/>
    </row>
    <row r="45" spans="1:8" ht="45.75" x14ac:dyDescent="0.3">
      <c r="A45" s="59" t="s">
        <v>106</v>
      </c>
      <c r="D45" t="s">
        <v>93</v>
      </c>
      <c r="F45" s="34" t="s">
        <v>94</v>
      </c>
      <c r="G45" s="62"/>
      <c r="H45" s="62"/>
    </row>
    <row r="46" spans="1:8" x14ac:dyDescent="0.25">
      <c r="D46" s="33" t="s">
        <v>41</v>
      </c>
      <c r="F46" s="33" t="s">
        <v>92</v>
      </c>
    </row>
    <row r="47" spans="1:8" ht="45" x14ac:dyDescent="0.25">
      <c r="C47" s="60" t="s">
        <v>103</v>
      </c>
      <c r="D47" s="16" t="s">
        <v>96</v>
      </c>
      <c r="E47" s="16" t="s">
        <v>97</v>
      </c>
      <c r="F47" s="16" t="s">
        <v>86</v>
      </c>
      <c r="G47" s="16" t="s">
        <v>36</v>
      </c>
      <c r="H47" s="60" t="s">
        <v>98</v>
      </c>
    </row>
    <row r="48" spans="1:8" x14ac:dyDescent="0.25">
      <c r="A48" t="s">
        <v>78</v>
      </c>
      <c r="C48" s="37">
        <f>Panels!E10</f>
        <v>972</v>
      </c>
      <c r="D48" s="37">
        <f>VLOOKUP($D$46,Posts!$A$14:$E$15,3,FALSE)</f>
        <v>210</v>
      </c>
      <c r="E48" s="37">
        <f>Fasteners!$C$19</f>
        <v>20</v>
      </c>
      <c r="F48" s="37" t="str">
        <f>IF($F$46=$I$1,Concrete!$D$9,"")</f>
        <v/>
      </c>
      <c r="G48" s="37">
        <f>SUM(C48:F48)</f>
        <v>1202</v>
      </c>
      <c r="H48" s="37">
        <f>G48/$D$1</f>
        <v>12.26530612244898</v>
      </c>
    </row>
    <row r="49" spans="1:8" x14ac:dyDescent="0.25">
      <c r="A49" t="s">
        <v>82</v>
      </c>
      <c r="C49" s="37">
        <f>Panels!E14</f>
        <v>1062</v>
      </c>
      <c r="D49" s="37">
        <f>VLOOKUP($D$46,Posts!$A$14:$E$15,3,FALSE)</f>
        <v>210</v>
      </c>
      <c r="E49" s="37">
        <f>Fasteners!$C$19</f>
        <v>20</v>
      </c>
      <c r="F49" s="37">
        <f>IF($F$40=$I$1,Concrete!$D$9,"")</f>
        <v>86</v>
      </c>
      <c r="G49" s="37">
        <f t="shared" ref="G49" si="8">SUM(C49:F49)</f>
        <v>1378</v>
      </c>
      <c r="H49" s="37">
        <f>G49/$D$1</f>
        <v>14.061224489795919</v>
      </c>
    </row>
  </sheetData>
  <conditionalFormatting sqref="H1:H46 H48:H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F5 F13 F22 F30 F40 F46">
      <formula1>$I$1:$I$2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Fasteners!$A$14:$A$15</xm:f>
          </x14:formula1>
          <xm:sqref>E40</xm:sqref>
        </x14:dataValidation>
        <x14:dataValidation type="list" allowBlank="1" showInputMessage="1" showErrorMessage="1">
          <x14:formula1>
            <xm:f>Posts!$A$14:$A$15</xm:f>
          </x14:formula1>
          <xm:sqref>D13 D30 D40 D46</xm:sqref>
        </x14:dataValidation>
        <x14:dataValidation type="list" allowBlank="1" showInputMessage="1" showErrorMessage="1">
          <x14:formula1>
            <xm:f>Posts!$A$13:$A$15</xm:f>
          </x14:formula1>
          <xm:sqref>D5 D22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Boards</vt:lpstr>
      <vt:lpstr>Guard Rail</vt:lpstr>
      <vt:lpstr>Posts</vt:lpstr>
      <vt:lpstr>Fasteners</vt:lpstr>
      <vt:lpstr>Gates</vt:lpstr>
      <vt:lpstr>Panels</vt:lpstr>
      <vt:lpstr>Concrete</vt:lpstr>
      <vt:lpstr>Total_Cost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Joshua J</dc:creator>
  <cp:lastModifiedBy>Jackson, Joshua J</cp:lastModifiedBy>
  <dcterms:created xsi:type="dcterms:W3CDTF">2018-06-11T13:09:55Z</dcterms:created>
  <dcterms:modified xsi:type="dcterms:W3CDTF">2018-06-11T13:11:03Z</dcterms:modified>
</cp:coreProperties>
</file>